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a\n\annikack\appdata\xp.V2\Desktop\"/>
    </mc:Choice>
  </mc:AlternateContent>
  <workbookProtection workbookAlgorithmName="SHA-512" workbookHashValue="Fl2q7HvhxAFFjm845WZijvL6HFfvNhGWnpmiK9e1NL6gQwsuxzQ4JqvUUFgc6M+Av45G8XU60DQEuByViQ/A8Q==" workbookSaltValue="YGwT3V7C5Cn1x8Jf01+MAQ==" workbookSpinCount="100000" lockStructure="1"/>
  <bookViews>
    <workbookView xWindow="0" yWindow="0" windowWidth="26610" windowHeight="13965" activeTab="6"/>
  </bookViews>
  <sheets>
    <sheet name="Package tours" sheetId="3" r:id="rId1"/>
    <sheet name="Home holyday" sheetId="5" r:id="rId2"/>
    <sheet name="Electricity" sheetId="4" r:id="rId3"/>
    <sheet name="Heating" sheetId="7" r:id="rId4"/>
    <sheet name="Rent" sheetId="8" r:id="rId5"/>
    <sheet name="Fuels" sheetId="6" r:id="rId6"/>
    <sheet name=" Train, bus etc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4" l="1"/>
  <c r="G46" i="4"/>
  <c r="G45" i="4"/>
  <c r="F47" i="4"/>
  <c r="F46" i="4"/>
  <c r="F45" i="4"/>
  <c r="E47" i="4"/>
  <c r="E46" i="4"/>
  <c r="E45" i="4"/>
  <c r="G20" i="3" l="1"/>
  <c r="B20" i="3"/>
  <c r="C20" i="3"/>
  <c r="B26" i="9" l="1"/>
  <c r="B27" i="9"/>
  <c r="B25" i="9"/>
  <c r="B24" i="9"/>
  <c r="B23" i="9"/>
  <c r="B20" i="9"/>
  <c r="B19" i="9"/>
  <c r="B18" i="9"/>
  <c r="A76" i="6"/>
  <c r="D49" i="6"/>
  <c r="E40" i="6"/>
  <c r="D61" i="6" s="1"/>
  <c r="C76" i="6" s="1"/>
  <c r="F40" i="6"/>
  <c r="E61" i="6" s="1"/>
  <c r="D76" i="6" s="1"/>
  <c r="H43" i="6"/>
  <c r="D40" i="6" s="1"/>
  <c r="A14" i="9"/>
  <c r="A15" i="9"/>
  <c r="A13" i="9"/>
  <c r="C10" i="5"/>
  <c r="D10" i="5"/>
  <c r="B10" i="5"/>
  <c r="B3" i="5"/>
  <c r="M30" i="3"/>
  <c r="N30" i="3" s="1"/>
  <c r="L34" i="3" s="1"/>
  <c r="M29" i="3"/>
  <c r="M28" i="3"/>
  <c r="L28" i="3"/>
  <c r="L22" i="3"/>
  <c r="L20" i="3"/>
  <c r="L21" i="3"/>
  <c r="L19" i="3"/>
  <c r="L25" i="3"/>
  <c r="L23" i="3"/>
  <c r="C10" i="9"/>
  <c r="H29" i="3"/>
  <c r="H28" i="3"/>
  <c r="H27" i="3"/>
  <c r="G21" i="3"/>
  <c r="G22" i="3"/>
  <c r="G19" i="3"/>
  <c r="C29" i="3"/>
  <c r="C28" i="3"/>
  <c r="C27" i="3"/>
  <c r="B21" i="3"/>
  <c r="B19" i="3"/>
  <c r="C61" i="6" l="1"/>
  <c r="B76" i="6" s="1"/>
  <c r="N29" i="3"/>
  <c r="L33" i="3" s="1"/>
  <c r="N28" i="3"/>
  <c r="L32" i="3" s="1"/>
  <c r="B22" i="3"/>
  <c r="N13" i="3"/>
  <c r="M13" i="3"/>
  <c r="M12" i="3"/>
  <c r="N12" i="3"/>
  <c r="L12" i="3"/>
  <c r="L6" i="3"/>
  <c r="L7" i="3" s="1"/>
  <c r="L8" i="3" s="1"/>
  <c r="B10" i="9"/>
  <c r="C9" i="9"/>
  <c r="B9" i="9"/>
  <c r="L5" i="3"/>
  <c r="G10" i="3"/>
  <c r="G6" i="3"/>
  <c r="G7" i="3" s="1"/>
  <c r="B10" i="3"/>
  <c r="C67" i="6"/>
  <c r="B67" i="6"/>
  <c r="A67" i="6"/>
  <c r="A75" i="6" s="1"/>
  <c r="C60" i="6"/>
  <c r="B64" i="6"/>
  <c r="B65" i="6"/>
  <c r="B66" i="6"/>
  <c r="A56" i="6"/>
  <c r="A57" i="6"/>
  <c r="C52" i="6"/>
  <c r="B47" i="6"/>
  <c r="B43" i="6"/>
  <c r="B44" i="6"/>
  <c r="B45" i="6"/>
  <c r="B46" i="6"/>
  <c r="B48" i="6"/>
  <c r="F37" i="6"/>
  <c r="E58" i="6" s="1"/>
  <c r="D74" i="6" s="1"/>
  <c r="E37" i="6"/>
  <c r="D58" i="6" s="1"/>
  <c r="C74" i="6" s="1"/>
  <c r="D37" i="6"/>
  <c r="C58" i="6" s="1"/>
  <c r="B74" i="6" s="1"/>
  <c r="H41" i="6"/>
  <c r="F34" i="6" s="1"/>
  <c r="E54" i="6" s="1"/>
  <c r="D72" i="6" s="1"/>
  <c r="H39" i="6"/>
  <c r="E36" i="6" s="1"/>
  <c r="D56" i="6" s="1"/>
  <c r="H35" i="6"/>
  <c r="E35" i="6" s="1"/>
  <c r="D55" i="6" s="1"/>
  <c r="C73" i="6" s="1"/>
  <c r="H37" i="6"/>
  <c r="F33" i="6" s="1"/>
  <c r="E53" i="6" s="1"/>
  <c r="C39" i="6"/>
  <c r="C38" i="6"/>
  <c r="C37" i="6"/>
  <c r="C36" i="6"/>
  <c r="C35" i="6"/>
  <c r="C34" i="6"/>
  <c r="C33" i="6"/>
  <c r="A39" i="6"/>
  <c r="A38" i="6"/>
  <c r="D32" i="6"/>
  <c r="E32" i="6"/>
  <c r="F32" i="6"/>
  <c r="B32" i="6"/>
  <c r="B42" i="6" s="1"/>
  <c r="B6" i="3"/>
  <c r="B7" i="3" s="1"/>
  <c r="B28" i="3" l="1"/>
  <c r="D28" i="3" s="1"/>
  <c r="B33" i="3" s="1"/>
  <c r="B12" i="3"/>
  <c r="B14" i="9" s="1"/>
  <c r="B75" i="6"/>
  <c r="G11" i="3"/>
  <c r="E39" i="6"/>
  <c r="D39" i="6"/>
  <c r="L13" i="3"/>
  <c r="D34" i="6"/>
  <c r="C54" i="6" s="1"/>
  <c r="B72" i="6" s="1"/>
  <c r="D57" i="6"/>
  <c r="E34" i="6"/>
  <c r="D54" i="6" s="1"/>
  <c r="C72" i="6" s="1"/>
  <c r="F38" i="6"/>
  <c r="E38" i="6"/>
  <c r="D36" i="6"/>
  <c r="D46" i="6"/>
  <c r="F36" i="6"/>
  <c r="F39" i="6"/>
  <c r="D47" i="6"/>
  <c r="C57" i="6" s="1"/>
  <c r="D33" i="6"/>
  <c r="C53" i="6" s="1"/>
  <c r="E33" i="6"/>
  <c r="D35" i="6"/>
  <c r="C55" i="6" s="1"/>
  <c r="B73" i="6" s="1"/>
  <c r="F35" i="6"/>
  <c r="D38" i="6"/>
  <c r="B13" i="8"/>
  <c r="A15" i="8"/>
  <c r="A16" i="8"/>
  <c r="A17" i="8"/>
  <c r="A18" i="8"/>
  <c r="A14" i="8"/>
  <c r="A3" i="8"/>
  <c r="B8" i="8" s="1"/>
  <c r="C58" i="7"/>
  <c r="C59" i="7"/>
  <c r="C60" i="7"/>
  <c r="C57" i="7"/>
  <c r="B61" i="7"/>
  <c r="B63" i="7"/>
  <c r="C63" i="7"/>
  <c r="D63" i="7"/>
  <c r="E63" i="7"/>
  <c r="F63" i="7"/>
  <c r="G63" i="7"/>
  <c r="H63" i="7"/>
  <c r="A63" i="7"/>
  <c r="H64" i="7"/>
  <c r="H65" i="7" s="1"/>
  <c r="B64" i="7"/>
  <c r="C64" i="7"/>
  <c r="C65" i="7" s="1"/>
  <c r="D64" i="7"/>
  <c r="D65" i="7" s="1"/>
  <c r="E64" i="7"/>
  <c r="F64" i="7"/>
  <c r="F65" i="7" s="1"/>
  <c r="G64" i="7"/>
  <c r="G65" i="7" s="1"/>
  <c r="A64" i="7"/>
  <c r="A65" i="7" s="1"/>
  <c r="B11" i="3" l="1"/>
  <c r="B13" i="9" s="1"/>
  <c r="C56" i="6"/>
  <c r="B27" i="3" s="1"/>
  <c r="D27" i="3" s="1"/>
  <c r="B32" i="3" s="1"/>
  <c r="E55" i="6"/>
  <c r="E60" i="6"/>
  <c r="D60" i="6"/>
  <c r="D53" i="6"/>
  <c r="D59" i="6" s="1"/>
  <c r="G28" i="3" s="1"/>
  <c r="I28" i="3" s="1"/>
  <c r="G33" i="3" s="1"/>
  <c r="E56" i="6"/>
  <c r="E57" i="6"/>
  <c r="C59" i="6"/>
  <c r="G27" i="3" s="1"/>
  <c r="I27" i="3" s="1"/>
  <c r="G32" i="3" s="1"/>
  <c r="B9" i="8"/>
  <c r="B16" i="8"/>
  <c r="D16" i="8"/>
  <c r="C16" i="8"/>
  <c r="B6" i="8"/>
  <c r="B7" i="8"/>
  <c r="D17" i="8"/>
  <c r="C17" i="8"/>
  <c r="B17" i="8"/>
  <c r="C61" i="7"/>
  <c r="C70" i="7" s="1"/>
  <c r="C75" i="7" s="1"/>
  <c r="M51" i="7" s="1"/>
  <c r="M54" i="7" s="1"/>
  <c r="E76" i="4"/>
  <c r="L12" i="7"/>
  <c r="M21" i="7" s="1"/>
  <c r="F45" i="7"/>
  <c r="F42" i="7"/>
  <c r="B54" i="7"/>
  <c r="K45" i="7" s="1"/>
  <c r="M7" i="7"/>
  <c r="M8" i="7" s="1"/>
  <c r="N7" i="7"/>
  <c r="N8" i="7" s="1"/>
  <c r="O7" i="7"/>
  <c r="O8" i="7" s="1"/>
  <c r="P7" i="7"/>
  <c r="Q7" i="7"/>
  <c r="Q8" i="7" s="1"/>
  <c r="M16" i="7" s="1"/>
  <c r="R7" i="7"/>
  <c r="R8" i="7" s="1"/>
  <c r="N16" i="7" s="1"/>
  <c r="S7" i="7"/>
  <c r="S8" i="7" s="1"/>
  <c r="O16" i="7" s="1"/>
  <c r="L7" i="7"/>
  <c r="L8" i="7" s="1"/>
  <c r="S6" i="7"/>
  <c r="M6" i="7"/>
  <c r="N6" i="7"/>
  <c r="O6" i="7"/>
  <c r="P6" i="7"/>
  <c r="Q6" i="7"/>
  <c r="R6" i="7"/>
  <c r="L6" i="7"/>
  <c r="A36" i="6"/>
  <c r="A37" i="6"/>
  <c r="A48" i="6" s="1"/>
  <c r="A58" i="6" s="1"/>
  <c r="A66" i="6" s="1"/>
  <c r="A74" i="6" s="1"/>
  <c r="A35" i="6"/>
  <c r="A45" i="6" s="1"/>
  <c r="A55" i="6" s="1"/>
  <c r="A65" i="6" s="1"/>
  <c r="A73" i="6" s="1"/>
  <c r="A34" i="6"/>
  <c r="A44" i="6" s="1"/>
  <c r="A54" i="6" s="1"/>
  <c r="A64" i="6" s="1"/>
  <c r="A72" i="6" s="1"/>
  <c r="A33" i="6"/>
  <c r="A43" i="6" s="1"/>
  <c r="A53" i="6" s="1"/>
  <c r="E59" i="6" l="1"/>
  <c r="G29" i="3" s="1"/>
  <c r="I29" i="3" s="1"/>
  <c r="G34" i="3" s="1"/>
  <c r="B29" i="3"/>
  <c r="D29" i="3" s="1"/>
  <c r="B34" i="3" s="1"/>
  <c r="D73" i="6"/>
  <c r="B13" i="3"/>
  <c r="B15" i="9" s="1"/>
  <c r="C75" i="6"/>
  <c r="G12" i="3"/>
  <c r="D75" i="6"/>
  <c r="G13" i="3"/>
  <c r="B10" i="8"/>
  <c r="D14" i="8"/>
  <c r="B70" i="7"/>
  <c r="B75" i="7" s="1"/>
  <c r="L51" i="7" s="1"/>
  <c r="L54" i="7" s="1"/>
  <c r="C14" i="8" s="1"/>
  <c r="F48" i="7"/>
  <c r="K48" i="7" s="1"/>
  <c r="A70" i="7"/>
  <c r="A75" i="7" s="1"/>
  <c r="K51" i="7" s="1"/>
  <c r="K54" i="7" s="1"/>
  <c r="B14" i="8" s="1"/>
  <c r="D66" i="4"/>
  <c r="E66" i="4"/>
  <c r="F66" i="4"/>
  <c r="G66" i="4"/>
  <c r="C66" i="4"/>
  <c r="H16" i="4"/>
  <c r="A16" i="4"/>
  <c r="E32" i="4"/>
  <c r="F32" i="4"/>
  <c r="G32" i="4"/>
  <c r="H32" i="4"/>
  <c r="B32" i="4"/>
  <c r="C32" i="4"/>
  <c r="D32" i="4"/>
  <c r="A32" i="4"/>
  <c r="B16" i="4"/>
  <c r="C16" i="4"/>
  <c r="D16" i="4"/>
  <c r="E16" i="4"/>
  <c r="F16" i="4"/>
  <c r="G16" i="4"/>
  <c r="B15" i="4"/>
  <c r="C44" i="4" s="1"/>
  <c r="C15" i="4"/>
  <c r="D15" i="4"/>
  <c r="E15" i="4"/>
  <c r="F15" i="4"/>
  <c r="G15" i="4"/>
  <c r="A15" i="4"/>
  <c r="B22" i="4"/>
  <c r="B33" i="4" s="1"/>
  <c r="C22" i="4"/>
  <c r="C33" i="4" s="1"/>
  <c r="D22" i="4"/>
  <c r="D33" i="4" s="1"/>
  <c r="E22" i="4"/>
  <c r="F22" i="4"/>
  <c r="F33" i="4" s="1"/>
  <c r="G22" i="4"/>
  <c r="G33" i="4" s="1"/>
  <c r="H22" i="4"/>
  <c r="H33" i="4" s="1"/>
  <c r="I22" i="4"/>
  <c r="B23" i="4"/>
  <c r="B34" i="4" s="1"/>
  <c r="C23" i="4"/>
  <c r="C34" i="4" s="1"/>
  <c r="D23" i="4"/>
  <c r="D34" i="4" s="1"/>
  <c r="E23" i="4"/>
  <c r="F23" i="4"/>
  <c r="F34" i="4" s="1"/>
  <c r="G23" i="4"/>
  <c r="G34" i="4" s="1"/>
  <c r="H23" i="4"/>
  <c r="H34" i="4" s="1"/>
  <c r="I23" i="4"/>
  <c r="B24" i="4"/>
  <c r="B35" i="4" s="1"/>
  <c r="C24" i="4"/>
  <c r="C35" i="4" s="1"/>
  <c r="D24" i="4"/>
  <c r="D35" i="4" s="1"/>
  <c r="E24" i="4"/>
  <c r="F24" i="4"/>
  <c r="F35" i="4" s="1"/>
  <c r="G24" i="4"/>
  <c r="G35" i="4" s="1"/>
  <c r="H24" i="4"/>
  <c r="H35" i="4" s="1"/>
  <c r="I24" i="4"/>
  <c r="B25" i="4"/>
  <c r="B36" i="4" s="1"/>
  <c r="C25" i="4"/>
  <c r="C36" i="4" s="1"/>
  <c r="D25" i="4"/>
  <c r="D36" i="4" s="1"/>
  <c r="E25" i="4"/>
  <c r="F25" i="4"/>
  <c r="F36" i="4" s="1"/>
  <c r="G25" i="4"/>
  <c r="G36" i="4" s="1"/>
  <c r="H25" i="4"/>
  <c r="H36" i="4" s="1"/>
  <c r="I25" i="4"/>
  <c r="B26" i="4"/>
  <c r="B37" i="4" s="1"/>
  <c r="C26" i="4"/>
  <c r="C37" i="4" s="1"/>
  <c r="D26" i="4"/>
  <c r="D37" i="4" s="1"/>
  <c r="E26" i="4"/>
  <c r="F26" i="4"/>
  <c r="F37" i="4" s="1"/>
  <c r="G26" i="4"/>
  <c r="G37" i="4" s="1"/>
  <c r="H26" i="4"/>
  <c r="H37" i="4" s="1"/>
  <c r="I26" i="4"/>
  <c r="B27" i="4"/>
  <c r="B38" i="4" s="1"/>
  <c r="C27" i="4"/>
  <c r="C38" i="4" s="1"/>
  <c r="D27" i="4"/>
  <c r="D38" i="4" s="1"/>
  <c r="E27" i="4"/>
  <c r="F27" i="4"/>
  <c r="F38" i="4" s="1"/>
  <c r="G27" i="4"/>
  <c r="G38" i="4" s="1"/>
  <c r="H27" i="4"/>
  <c r="H38" i="4" s="1"/>
  <c r="I27" i="4"/>
  <c r="B28" i="4"/>
  <c r="B39" i="4" s="1"/>
  <c r="C28" i="4"/>
  <c r="C39" i="4" s="1"/>
  <c r="D28" i="4"/>
  <c r="D39" i="4" s="1"/>
  <c r="E28" i="4"/>
  <c r="F28" i="4"/>
  <c r="F39" i="4" s="1"/>
  <c r="G28" i="4"/>
  <c r="G39" i="4" s="1"/>
  <c r="H28" i="4"/>
  <c r="H39" i="4" s="1"/>
  <c r="I28" i="4"/>
  <c r="A23" i="4"/>
  <c r="A34" i="4" s="1"/>
  <c r="A24" i="4"/>
  <c r="A35" i="4" s="1"/>
  <c r="A25" i="4"/>
  <c r="A36" i="4" s="1"/>
  <c r="A26" i="4"/>
  <c r="A37" i="4" s="1"/>
  <c r="A27" i="4"/>
  <c r="A38" i="4" s="1"/>
  <c r="A28" i="4"/>
  <c r="A39" i="4" s="1"/>
  <c r="A22" i="4"/>
  <c r="A33" i="4" s="1"/>
  <c r="C45" i="4" l="1"/>
  <c r="B45" i="4"/>
  <c r="D45" i="4"/>
  <c r="D47" i="4"/>
  <c r="D46" i="4"/>
  <c r="C46" i="4"/>
  <c r="B47" i="4"/>
  <c r="B46" i="4"/>
  <c r="C47" i="4"/>
  <c r="B44" i="4"/>
  <c r="H45" i="4" l="1"/>
  <c r="B52" i="4" s="1"/>
  <c r="G51" i="4" s="1"/>
  <c r="B15" i="8" s="1"/>
  <c r="B18" i="8" s="1"/>
  <c r="H47" i="4"/>
  <c r="B54" i="4" s="1"/>
  <c r="G53" i="4" s="1"/>
  <c r="D15" i="8" s="1"/>
  <c r="D18" i="8" s="1"/>
  <c r="H46" i="4"/>
  <c r="B53" i="4" s="1"/>
  <c r="G52" i="4" s="1"/>
  <c r="C15" i="8" s="1"/>
  <c r="C18" i="8" s="1"/>
</calcChain>
</file>

<file path=xl/comments1.xml><?xml version="1.0" encoding="utf-8"?>
<comments xmlns="http://schemas.openxmlformats.org/spreadsheetml/2006/main">
  <authors>
    <author>Annika Carlsson-Kanyama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Björks resor 1.11 2019. Price not corrected for 2016.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Björks resor 1.11 2019. Price not corrected for 2016.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Road distance, did not find distance for train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run on green electricity (hydro)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FROM SJs webiset 2.11 för travel 8.11 and back 10.11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Intervju med Liljegren Logent september 2019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Results from EAP calculations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Results from EAP calculations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Results from EAP calculations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Spain was the most popular destination for Swedes in 2016 http://www.vagabond.se/artiklar/nyheter/20180321/resebarometern-2018-stor-granskning-av-svenska-folkets-resvanor/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Spain was the most popular destination for Swedes in 2016 http://www.vagabond.se/artiklar/nyheter/20180321/resebarometern-2018-stor-granskning-av-svenska-folkets-resvanor/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The first 10 package tours to Canary Islands found on Ticket 3.11 2019 between 15.1 and 31.1 2020.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The first 10 package tours to Canary Islands found on Ticket 3.11 2019 between 15.1 and 31.1 2020.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rail Europé 4.11 travel for 15.12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ttps://blog.openairlines.com/how-much-fuel-per-passenger-an-aircraft-is-consuming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Annika Carlsson-Kanyama:
Average of information from</t>
        </r>
        <r>
          <rPr>
            <sz val="9"/>
            <color indexed="81"/>
            <rFont val="Tahoma"/>
            <family val="2"/>
          </rPr>
          <t xml:space="preserve">
ttps://blog.openairlines.com/how-much-fuel-per-passenger-an-aircraft-is-consuming (0,04 litre per pkm) and Ving Fredrik Henriksson 7.11 2019 of 0,026 litres per pkm.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Booking.com on 4.11 2019 for hotl 16.12 2019 and five nights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Ving , Fredrik henriksson 4.11 2019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Ving , Fredrik henriksson 4.11 2019</t>
        </r>
      </text>
    </comment>
  </commentList>
</comments>
</file>

<file path=xl/comments2.xml><?xml version="1.0" encoding="utf-8"?>
<comments xmlns="http://schemas.openxmlformats.org/spreadsheetml/2006/main">
  <authors>
    <author>Annika Carlsson-Kanyama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made from gas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made from gas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made from gas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gas</t>
        </r>
      </text>
    </comment>
  </commentList>
</comments>
</file>

<file path=xl/comments3.xml><?xml version="1.0" encoding="utf-8"?>
<comments xmlns="http://schemas.openxmlformats.org/spreadsheetml/2006/main">
  <authors>
    <author>Annika Carlsson-Kanyama</author>
  </authors>
  <commentList>
    <comment ref="F42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4772 thousend tonnes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51,4 TWh according to https://www.scb.se/contentassets/32c099cd9dab4db8999acc5e4401c871/en0105_2016a01_sm_en11sm1701.pdf</t>
        </r>
      </text>
    </comment>
  </commentList>
</comments>
</file>

<file path=xl/comments4.xml><?xml version="1.0" encoding="utf-8"?>
<comments xmlns="http://schemas.openxmlformats.org/spreadsheetml/2006/main">
  <authors>
    <author>Annika Carlsson-Kanyama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NilsHolgerssson rapporten 2018. 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NilsHolgerssson rapporten 2018. 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Number from EAP calculation</t>
        </r>
      </text>
    </comment>
  </commentList>
</comments>
</file>

<file path=xl/comments5.xml><?xml version="1.0" encoding="utf-8"?>
<comments xmlns="http://schemas.openxmlformats.org/spreadsheetml/2006/main">
  <authors>
    <author>Annika Carlsson-Kanyama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Gröna Bilister. Drivmedelsfakta
2015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Gröna Bilister. Drivmedelsfakta
2015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https://www.verifavia.com/greenhouse-gas-verification/fq-how-are-aircraft-co2-emissions-calculated-11.php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Chalmers. https://research.chalmers.se/publication/506796/file/506796_Fulltext.pdf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https://www.verifavia.com/greenhouse-gas-verification/fq-how-are-aircraft-co2-emissions-calculated-11.php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Gröna Bilister. Drivmedelsfakta
2015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https://spbi.se/statistik/priser/mer-prisstatistik/arsmedelspriser-motorbranslen/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https://spbi.se/statistik/priser/mer-prisstatistik/arsmedelspriser-motorbranslen/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https://spbi.se/statistik/priser/mer-prisstatistik/arsmedelspriser-motorbranslen/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Assumed to be the same as conventional diesel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average pricesof motoroil at pricerunner 191105, the first five oils.
</t>
        </r>
      </text>
    </comment>
  </commentList>
</comments>
</file>

<file path=xl/comments6.xml><?xml version="1.0" encoding="utf-8"?>
<comments xmlns="http://schemas.openxmlformats.org/spreadsheetml/2006/main">
  <authors>
    <author>Annika Carlsson-Kanyama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NTM. https://www.transportmeasures.org/en/wiki/evaluation-transport-suppliers/train-travel-baselines-2017/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Transportstyrelsen. 2015. https://www.transportstyrelsen.se/globalassets/global/publikationer/jarnvag/utveckling-av-utbud-och-priser-pa-jarnvagslinjer-1990-2015.pdf. P. 15 in Appendix from KTH.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Yeraly report from SL, 2016, p.22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SL:s environmental report from 2016, p.5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Taxi Stockholm 5.11 2019. https://www.taxistockholm.se/sv/hjalpcenter/priser/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Annika Carlsson-Kanyama:</t>
        </r>
        <r>
          <rPr>
            <sz val="9"/>
            <color indexed="81"/>
            <rFont val="Tahoma"/>
            <family val="2"/>
          </rPr>
          <t xml:space="preserve">
Volvo V60 D4 according to Teknikens värld, https://teknikensvarld.se/sa-mycket-drar-bilen-i-verkligheten-180315/ 191105</t>
        </r>
      </text>
    </comment>
  </commentList>
</comments>
</file>

<file path=xl/sharedStrings.xml><?xml version="1.0" encoding="utf-8"?>
<sst xmlns="http://schemas.openxmlformats.org/spreadsheetml/2006/main" count="736" uniqueCount="311">
  <si>
    <t>Taxi</t>
  </si>
  <si>
    <t>Plane</t>
  </si>
  <si>
    <t>Hotel</t>
  </si>
  <si>
    <t>Assumptions 1 person, one week</t>
  </si>
  <si>
    <t>Label</t>
  </si>
  <si>
    <t>Category</t>
  </si>
  <si>
    <t>Location</t>
  </si>
  <si>
    <t>Country/region</t>
  </si>
  <si>
    <t>FU</t>
  </si>
  <si>
    <t>CC (Recipe) kg CO2 eq</t>
  </si>
  <si>
    <t>LU (Recipe) m2 agricultural</t>
  </si>
  <si>
    <t>WRD (Recipe) m3</t>
  </si>
  <si>
    <t>Database</t>
  </si>
  <si>
    <t>Observations</t>
  </si>
  <si>
    <t>palm oil methyl ester</t>
  </si>
  <si>
    <t>biofuel</t>
  </si>
  <si>
    <t>at warehouse</t>
  </si>
  <si>
    <t>MY</t>
  </si>
  <si>
    <t>1 kg</t>
  </si>
  <si>
    <t>IDEMAT 2017</t>
  </si>
  <si>
    <t>all biofuels in this document exclude combustion unless specified otherwise</t>
  </si>
  <si>
    <t>rape methyl ester</t>
  </si>
  <si>
    <t>CH</t>
  </si>
  <si>
    <t>soyabean ester</t>
  </si>
  <si>
    <t>US</t>
  </si>
  <si>
    <t>ethanol from wood</t>
  </si>
  <si>
    <t>SE</t>
  </si>
  <si>
    <t>petrol (85% ethanol from swedish wood)</t>
  </si>
  <si>
    <t xml:space="preserve">crude coal </t>
  </si>
  <si>
    <t>fossil</t>
  </si>
  <si>
    <t>at electric plant</t>
  </si>
  <si>
    <t>NL</t>
  </si>
  <si>
    <t>all fossil fuels in this document exclude combustion unless specified otherwise</t>
  </si>
  <si>
    <t>lignite briquettes</t>
  </si>
  <si>
    <t>DE</t>
  </si>
  <si>
    <t>compressed natural gas</t>
  </si>
  <si>
    <t>crude oil</t>
  </si>
  <si>
    <t>GLO</t>
  </si>
  <si>
    <t>diesel low-sulphur</t>
  </si>
  <si>
    <t>RER</t>
  </si>
  <si>
    <t>heavy fuel oil</t>
  </si>
  <si>
    <t>kerosene</t>
  </si>
  <si>
    <t>propane/butane, liquid</t>
  </si>
  <si>
    <t xml:space="preserve">petrol  </t>
  </si>
  <si>
    <t>uranium</t>
  </si>
  <si>
    <t>others</t>
  </si>
  <si>
    <t>at nuclear fuel fabrication plant</t>
  </si>
  <si>
    <t>FR</t>
  </si>
  <si>
    <t xml:space="preserve">enriched 3,8% </t>
  </si>
  <si>
    <t>electricity, coal</t>
  </si>
  <si>
    <t>electricity</t>
  </si>
  <si>
    <t>1 MJ</t>
  </si>
  <si>
    <t>electricity, gas</t>
  </si>
  <si>
    <t>electricity, oil</t>
  </si>
  <si>
    <t>electricity, hydro</t>
  </si>
  <si>
    <t>electricity, offshore windmill</t>
  </si>
  <si>
    <t>electricity, nuclear</t>
  </si>
  <si>
    <t>electricity, PV panel</t>
  </si>
  <si>
    <t>electricity mix</t>
  </si>
  <si>
    <t>this mix is for Industrial Western Europe</t>
  </si>
  <si>
    <t>natural gas, central or small-scale</t>
  </si>
  <si>
    <t>heating</t>
  </si>
  <si>
    <t>at heating system</t>
  </si>
  <si>
    <t>anthracite</t>
  </si>
  <si>
    <t>at stove</t>
  </si>
  <si>
    <t>wood chips and saw dust</t>
  </si>
  <si>
    <t>1 kg of wood provides 17,3 MJ of heat (12% WC)</t>
  </si>
  <si>
    <t>energy gas, domestic</t>
  </si>
  <si>
    <t>at home</t>
  </si>
  <si>
    <t>Innehåll</t>
  </si>
  <si>
    <t>1</t>
  </si>
  <si>
    <t>2</t>
  </si>
  <si>
    <t>3</t>
  </si>
  <si>
    <t>4</t>
  </si>
  <si>
    <t>5</t>
  </si>
  <si>
    <t>6</t>
  </si>
  <si>
    <t>7</t>
  </si>
  <si>
    <t>8</t>
  </si>
  <si>
    <t>Kärnkraft</t>
  </si>
  <si>
    <t>Industriell kraftvärme</t>
  </si>
  <si>
    <t>Kraftvärme</t>
  </si>
  <si>
    <t>Övrig värmekraft</t>
  </si>
  <si>
    <t>Totalt</t>
  </si>
  <si>
    <t>Import minus export</t>
  </si>
  <si>
    <t>Källa: Energimyndigheten och SCB.</t>
  </si>
  <si>
    <t>Anmärkningar:</t>
  </si>
  <si>
    <t>1) Produktion av el för egenanvändning ingår inte.</t>
  </si>
  <si>
    <t>Electricity production (net) per kraftslag in 2016 TWh</t>
  </si>
  <si>
    <t>Electricity production (net) per kraftslag in 2016, kWh</t>
  </si>
  <si>
    <t>TWh to kWh</t>
  </si>
  <si>
    <t>Emmissions per kraftslag, per MJ</t>
  </si>
  <si>
    <t>Enissions per kraftslag, per kWh</t>
  </si>
  <si>
    <t>MJ to kWh</t>
  </si>
  <si>
    <t>1kWh</t>
  </si>
  <si>
    <t>Hydro</t>
  </si>
  <si>
    <t>Windmill</t>
  </si>
  <si>
    <t>Nuclear</t>
  </si>
  <si>
    <t>Emissions etc from all Swedish electricity production 2016</t>
  </si>
  <si>
    <t>Emissions etc from Swedish electricity production 2016, per kWh</t>
  </si>
  <si>
    <t>Total minus export</t>
  </si>
  <si>
    <t>kWh that were exported</t>
  </si>
  <si>
    <t>Consumer prices of electricity in Sweden 2016. SEK per KWH including taxes and nätavgifter</t>
  </si>
  <si>
    <t>Priser på el för hushållskunder 2007–</t>
  </si>
  <si>
    <t>Tabellen visar genomsnittligt totalpris på el som betalas av hushållskunder, per halvår. I totalpriset ingår el, nät, elcertifikat, elskatt och moms. Priset anges i öre/kWh.</t>
  </si>
  <si>
    <t>Förbukarkategori</t>
  </si>
  <si>
    <t>DA</t>
  </si>
  <si>
    <t>DB</t>
  </si>
  <si>
    <t>DC</t>
  </si>
  <si>
    <t>DD</t>
  </si>
  <si>
    <t>januari–juni</t>
  </si>
  <si>
    <t>juli–december</t>
  </si>
  <si>
    <t>Definitioner och förklaringar</t>
  </si>
  <si>
    <t>Förbrukar-</t>
  </si>
  <si>
    <t>kategori</t>
  </si>
  <si>
    <t>Årlig konsumtion, </t>
  </si>
  <si>
    <t>kWh</t>
  </si>
  <si>
    <t>&lt; 1 000</t>
  </si>
  <si>
    <t>1 000–&lt; 2 500</t>
  </si>
  <si>
    <t>2 500–&lt; 5 000</t>
  </si>
  <si>
    <t>5 000–&lt; 15 000</t>
  </si>
  <si>
    <t>≥ 15 000</t>
  </si>
  <si>
    <t>Kategori</t>
  </si>
  <si>
    <t>Förklaring</t>
  </si>
  <si>
    <t>under 1000 kWh/år</t>
  </si>
  <si>
    <t>1000-2500 kWh/år</t>
  </si>
  <si>
    <t>2500-5000 kWh/år</t>
  </si>
  <si>
    <t>5000-15000 kWh/år</t>
  </si>
  <si>
    <t>över 15000 kWh/år</t>
  </si>
  <si>
    <t>Antal uttagspunkter per kategori</t>
  </si>
  <si>
    <t>Total energianvändning per kategori (kWh/år)</t>
  </si>
  <si>
    <t>Partitioning of household electricity use from Statistics Sweden, 2019, Lars Nilsson, mail 25.10 2019</t>
  </si>
  <si>
    <t>Average the whole year</t>
  </si>
  <si>
    <t>Emissions etc from Swedish electricity production, per SEK</t>
  </si>
  <si>
    <t>Selections of fuels for the outside of EAP calculation</t>
  </si>
  <si>
    <t>CH4</t>
  </si>
  <si>
    <t>2017</t>
  </si>
  <si>
    <t>Avfall</t>
  </si>
  <si>
    <t>El- och fjärrvärmeproduktion</t>
  </si>
  <si>
    <t>1A1a</t>
  </si>
  <si>
    <t>kg/GJ resp. kg/MWh</t>
  </si>
  <si>
    <t>Deponi-/Rötgas-/Biogas</t>
  </si>
  <si>
    <t>Dieselbrännolja för annat än transport</t>
  </si>
  <si>
    <t>Eldningsolja 1</t>
  </si>
  <si>
    <t>Eldningsolja 2-5</t>
  </si>
  <si>
    <t>Fotogen</t>
  </si>
  <si>
    <t>Gasol (propan och butan)</t>
  </si>
  <si>
    <t>Koksugnsgas</t>
  </si>
  <si>
    <t>LD-gas</t>
  </si>
  <si>
    <t>Masugnsgas</t>
  </si>
  <si>
    <t>Naturgas</t>
  </si>
  <si>
    <t>Stadsgas</t>
  </si>
  <si>
    <t>Stenkol,stenkolsbriketter</t>
  </si>
  <si>
    <t>Tall- och beckolja</t>
  </si>
  <si>
    <t>Torv och torvbriketter</t>
  </si>
  <si>
    <t>Träbränsle</t>
  </si>
  <si>
    <t>Övriga biomassa</t>
  </si>
  <si>
    <t>Övriga fasta fossila</t>
  </si>
  <si>
    <t>Övriga icke specificerade</t>
  </si>
  <si>
    <t>Övriga petroleum</t>
  </si>
  <si>
    <t>Emissions factors from EPA in Sweden, https://www.naturvardsverket.se/Stod-i-miljoarbetet/Vagledningar/Luft-och-klimat/Berakna-dina-klimatutslapp/ 191031</t>
  </si>
  <si>
    <t>Hushåll/Småskalig förbränning</t>
  </si>
  <si>
    <t>1A4b</t>
  </si>
  <si>
    <t>Träkol</t>
  </si>
  <si>
    <t>Hushåll: Vedpanna - briketter</t>
  </si>
  <si>
    <t>Hushåll: Vedpanna - flis/spån</t>
  </si>
  <si>
    <t>Hushåll: Vedpanna - ved Modern</t>
  </si>
  <si>
    <t>Hushåll: Vedpanna - ved Traditionell</t>
  </si>
  <si>
    <t>Hushåll: Vedspis/kakelugn/kamin - briketter</t>
  </si>
  <si>
    <t>Hushåll: Vedspis/kakelugn/kamin - ved Modern</t>
  </si>
  <si>
    <t>Hushåll: Vedspis/kakelugn/kamin - ved Traditionell</t>
  </si>
  <si>
    <t>Hushåll: Öppen spis - ved</t>
  </si>
  <si>
    <t>Indirect emissions</t>
  </si>
  <si>
    <t>Price for pellets 2016 according to Pelletsförbundet, Statistikrapport nr 1-2017</t>
  </si>
  <si>
    <t>kg wood chips to kWh wood chips</t>
  </si>
  <si>
    <t>Wood chips heating</t>
  </si>
  <si>
    <t>kg CO2 eqv/SEK</t>
  </si>
  <si>
    <t>Land m2/SEK</t>
  </si>
  <si>
    <t>Water l/SEK</t>
  </si>
  <si>
    <t>Emissions etc per SEK based on IDEMAT</t>
  </si>
  <si>
    <t>Emissions etc per SEK based on EPA</t>
  </si>
  <si>
    <t>Fjärrvärmepris kronor/MWh, per månad, inklusive moms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</si>
  <si>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</si>
  <si>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</si>
  <si>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</si>
  <si>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</si>
  <si>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</si>
  <si>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</si>
  <si>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</si>
  <si>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</si>
  <si>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</si>
  <si>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</si>
  <si>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</si>
  <si>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</si>
  <si>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Prices of district heating 2016 according to http://pxexternal.energimyndigheten.se/pxweb/sv/Tr%c3%a4dbr%c3%a4nsle-%20och%20torvpriser/Tr%c3%a4dbr%c3%a4nsle-%20och%20torvpriser/EN0307_4.px/table/tableViewLayout2/</t>
  </si>
  <si>
    <t>Average</t>
  </si>
  <si>
    <t>Emissions in CO2 equiv from Swedish district heating in 2016. Kg. EPA, https://www.naturvardsverket.se/Sa-mar-miljon/Statistik-A-O/Vaxthusgaser-utslapp-fran-el-och-fjarrvarme/</t>
  </si>
  <si>
    <t>KWh district heating produced in 2016</t>
  </si>
  <si>
    <t>kg CO2 equiv/kWh</t>
  </si>
  <si>
    <t>Twh to KWh</t>
  </si>
  <si>
    <t>kWh/SEK in 2016</t>
  </si>
  <si>
    <t>kWh/SEK</t>
  </si>
  <si>
    <t>Weigheted price of electricity, kWh/SEK 2016</t>
  </si>
  <si>
    <t>Direct emissions kg CO2 equiv/SEK</t>
  </si>
  <si>
    <t>District heating</t>
  </si>
  <si>
    <t>Heating with wood pellets</t>
  </si>
  <si>
    <t>Indirect emissions calculated based on energy carriers for district heating in 2016 according to Energiföretagen.</t>
  </si>
  <si>
    <r>
      <t>Eldningsolja</t>
    </r>
    <r>
      <rPr>
        <vertAlign val="superscript"/>
        <sz val="11"/>
        <color theme="1"/>
        <rFont val="Calibri"/>
        <family val="2"/>
        <scheme val="minor"/>
      </rPr>
      <t>1</t>
    </r>
  </si>
  <si>
    <t>Stenkol</t>
  </si>
  <si>
    <t>Övrigt fossilt bränsle</t>
  </si>
  <si>
    <t>KWh</t>
  </si>
  <si>
    <t>Total fossil fuels</t>
  </si>
  <si>
    <t>kg fuel oil to kWh</t>
  </si>
  <si>
    <t>1 kWH</t>
  </si>
  <si>
    <t>Emissions etc produced from all fossil fuels</t>
  </si>
  <si>
    <t>Emissions etc per kWh</t>
  </si>
  <si>
    <t>GWh</t>
  </si>
  <si>
    <t>GWh to KWh</t>
  </si>
  <si>
    <t>Total emissions</t>
  </si>
  <si>
    <t>Indirect emissions etc per SEK</t>
  </si>
  <si>
    <t>Total emissions etc per SEK</t>
  </si>
  <si>
    <t>Share of total rent cost for services</t>
  </si>
  <si>
    <t>Electricity</t>
  </si>
  <si>
    <t>Waste</t>
  </si>
  <si>
    <t>Sewage and water</t>
  </si>
  <si>
    <t>Sum</t>
  </si>
  <si>
    <t>Share of rent used for electricity, heating, water and sewage (and taxes)</t>
  </si>
  <si>
    <t>CC (Recipe) kg CO2 eq/SEK</t>
  </si>
  <si>
    <t>-</t>
  </si>
  <si>
    <t>Emissions etc from rent per SEK</t>
  </si>
  <si>
    <t>Bus to Ullared T/R from Nykvarn</t>
  </si>
  <si>
    <t>Distance T/R, km</t>
  </si>
  <si>
    <t>Occupancy rate in bus</t>
  </si>
  <si>
    <t>Number of seats in bus</t>
  </si>
  <si>
    <t>Total cost; SEK, per perion</t>
  </si>
  <si>
    <t>Total ticket revenue, SEK</t>
  </si>
  <si>
    <t>litres</t>
  </si>
  <si>
    <t>Kg to litres for petrol</t>
  </si>
  <si>
    <t>kg to litres diesel</t>
  </si>
  <si>
    <t>kg to litres ethanol</t>
  </si>
  <si>
    <t>kg to litres kerosene</t>
  </si>
  <si>
    <t>kg to litres E85</t>
  </si>
  <si>
    <t>Combustion emissions for fuels</t>
  </si>
  <si>
    <t>at combustion</t>
  </si>
  <si>
    <t>kg CO2 equiv</t>
  </si>
  <si>
    <t>kerosene, International flights</t>
  </si>
  <si>
    <t>kerosene, national flights</t>
  </si>
  <si>
    <t xml:space="preserve"> including high altitude impacts, 1,9</t>
  </si>
  <si>
    <t xml:space="preserve">Total emissions from fuels </t>
  </si>
  <si>
    <t>Kerosene with 50 % ethanol for international flight</t>
  </si>
  <si>
    <t>Prices of fuels</t>
  </si>
  <si>
    <t>Diesel with 50% ethanol</t>
  </si>
  <si>
    <t>SEK 2016</t>
  </si>
  <si>
    <t>Emissions etc per SEK 2016</t>
  </si>
  <si>
    <t>LU (Recipe) m2 agricultural/SEK</t>
  </si>
  <si>
    <t>WRD (Recipe) m3/SEK</t>
  </si>
  <si>
    <t>Package tour Sweden (1)</t>
  </si>
  <si>
    <t>Package tour Sweden (2)</t>
  </si>
  <si>
    <t>Diesel use, litres total conventional</t>
  </si>
  <si>
    <t>Diesel use, litres total 50% ethanol</t>
  </si>
  <si>
    <t>Package tour Sweden (3)</t>
  </si>
  <si>
    <t>Total cost for train T/R, SEK per person</t>
  </si>
  <si>
    <t>Total cost for hotel, SEK per person, 2 nights</t>
  </si>
  <si>
    <t>Train</t>
  </si>
  <si>
    <t>Bus</t>
  </si>
  <si>
    <t>Green electricty</t>
  </si>
  <si>
    <t>Electricity average EU</t>
  </si>
  <si>
    <t>KG CO2 equiv per personkm</t>
  </si>
  <si>
    <t>Emssions per personkm train</t>
  </si>
  <si>
    <t>Emissions per SEK for train</t>
  </si>
  <si>
    <t>SEK/km</t>
  </si>
  <si>
    <t>Kg CO2 equiv per SEK</t>
  </si>
  <si>
    <t>Km T/R</t>
  </si>
  <si>
    <t>Train to Katrineholm from Gothenburg, two nights at Duveholms herrgård</t>
  </si>
  <si>
    <t>Whole trip</t>
  </si>
  <si>
    <t>Total cost for trip</t>
  </si>
  <si>
    <t>Package tour abroad (1)</t>
  </si>
  <si>
    <t>Package tour abroad (2)</t>
  </si>
  <si>
    <t>Package tour abroad (3)</t>
  </si>
  <si>
    <t xml:space="preserve">Plane to Spain and hotel </t>
  </si>
  <si>
    <t>Kerosene, litres T/R one person</t>
  </si>
  <si>
    <t>Kerosene use litre per person and km</t>
  </si>
  <si>
    <t>SEK total one person whole package tour to Canary Islands</t>
  </si>
  <si>
    <t>Share of price for hotel</t>
  </si>
  <si>
    <t>Emissions from hotels outside Sweden calcuated by SCB</t>
  </si>
  <si>
    <t>Total package tour 1</t>
  </si>
  <si>
    <t>Plane to Spain and hotel renewable fuel 50%</t>
  </si>
  <si>
    <t>Total package tour 2</t>
  </si>
  <si>
    <t>Train holyday to Paris with hotel</t>
  </si>
  <si>
    <t>Train in Sweden, km</t>
  </si>
  <si>
    <t>Train outside Sweden, km</t>
  </si>
  <si>
    <t>SEK train Copenhagen-Paris cheap price</t>
  </si>
  <si>
    <t>km by train whole trip</t>
  </si>
  <si>
    <t>SEK train Stockholm-Copenhagen</t>
  </si>
  <si>
    <t>SEK hotel in Paris 5 nights</t>
  </si>
  <si>
    <t>Total SEK</t>
  </si>
  <si>
    <t>SEK for whole holyday of 1 week</t>
  </si>
  <si>
    <t>Emissions intensities etc for various actvities. EAP calculations.</t>
  </si>
  <si>
    <t>Movie and concerts</t>
  </si>
  <si>
    <t>Hairdressing and personal grooming</t>
  </si>
  <si>
    <t>Combined trip</t>
  </si>
  <si>
    <t>kg to litres heavy fuel oil</t>
  </si>
  <si>
    <t>heavy fuel oil (as lubricant)</t>
  </si>
  <si>
    <t>Heavy fuel oil</t>
  </si>
  <si>
    <t>0,28 kg CO2 per kWh, 1 liter is ca 10 kWh</t>
  </si>
  <si>
    <t>Motor oil</t>
  </si>
  <si>
    <t>Total income for tickets, SL, 2016, SEK</t>
  </si>
  <si>
    <t>Total CO2 eqv emisssion from public transport 2016 at SL, kg</t>
  </si>
  <si>
    <t>The main train company in Sweden only uses green electricity: hydro and wind</t>
  </si>
  <si>
    <t>SEK per km taxi</t>
  </si>
  <si>
    <t>Litres of petrol per km</t>
  </si>
  <si>
    <t>km T/R Sthlm-Gran Canaria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</si>
</sst>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E+00"/>
    <numFmt numFmtId="165" formatCode="0.00000"/>
    <numFmt numFmtId="166" formatCode="0.0"/>
    <numFmt numFmtId="167" formatCode="0.0000"/>
    <numFmt numFmtId="168" formatCode="0.000"/>
    <numFmt numFmtId="169" formatCode="#,##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Geneva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Helvetica"/>
    </font>
    <font>
      <sz val="9"/>
      <name val="Helvetica"/>
      <family val="2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3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7" fillId="0" borderId="0"/>
    <xf numFmtId="0" fontId="18" fillId="0" borderId="0"/>
    <xf numFmtId="0" fontId="19" fillId="0" borderId="0"/>
    <xf numFmtId="0" fontId="23" fillId="0" borderId="0"/>
  </cellStyleXfs>
  <cellXfs count="158">
    <xf numFmtId="0" fontId="0" fillId="0" borderId="0" xfId="0"/>
    <xf numFmtId="0" fontId="1" fillId="0" borderId="0" xfId="0" applyFont="1"/>
    <xf numFmtId="0" fontId="0" fillId="0" borderId="0" xfId="0" applyFont="1"/>
    <xf numFmtId="0" fontId="5" fillId="2" borderId="0" xfId="1" applyFont="1" applyFill="1"/>
    <xf numFmtId="0" fontId="7" fillId="3" borderId="0" xfId="2" applyFont="1" applyFill="1" applyAlignment="1">
      <alignment horizontal="left"/>
    </xf>
    <xf numFmtId="0" fontId="8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right"/>
    </xf>
    <xf numFmtId="0" fontId="9" fillId="2" borderId="0" xfId="3" applyFont="1" applyFill="1" applyBorder="1" applyAlignment="1">
      <alignment wrapText="1"/>
    </xf>
    <xf numFmtId="0" fontId="10" fillId="2" borderId="0" xfId="2" applyFont="1" applyFill="1" applyBorder="1" applyAlignment="1">
      <alignment horizontal="left"/>
    </xf>
    <xf numFmtId="166" fontId="9" fillId="2" borderId="0" xfId="3" applyNumberFormat="1" applyFont="1" applyFill="1" applyBorder="1" applyAlignment="1">
      <alignment horizontal="right"/>
    </xf>
    <xf numFmtId="166" fontId="10" fillId="2" borderId="0" xfId="3" applyNumberFormat="1" applyFont="1" applyFill="1" applyBorder="1" applyAlignment="1">
      <alignment horizontal="right"/>
    </xf>
    <xf numFmtId="0" fontId="9" fillId="3" borderId="0" xfId="2" applyFont="1" applyFill="1"/>
    <xf numFmtId="0" fontId="11" fillId="2" borderId="0" xfId="2" applyFont="1" applyFill="1"/>
    <xf numFmtId="0" fontId="9" fillId="2" borderId="0" xfId="3" applyFont="1" applyFill="1" applyBorder="1" applyAlignment="1">
      <alignment horizontal="left"/>
    </xf>
    <xf numFmtId="0" fontId="0" fillId="0" borderId="0" xfId="0" applyFill="1"/>
    <xf numFmtId="165" fontId="1" fillId="0" borderId="0" xfId="0" applyNumberFormat="1" applyFont="1" applyFill="1" applyAlignment="1">
      <alignment horizontal="center"/>
    </xf>
    <xf numFmtId="168" fontId="0" fillId="0" borderId="0" xfId="0" applyNumberFormat="1"/>
    <xf numFmtId="0" fontId="7" fillId="2" borderId="0" xfId="3" applyFont="1" applyFill="1" applyBorder="1" applyAlignment="1">
      <alignment wrapText="1"/>
    </xf>
    <xf numFmtId="166" fontId="9" fillId="0" borderId="0" xfId="3" applyNumberFormat="1" applyFont="1" applyFill="1" applyBorder="1" applyAlignment="1">
      <alignment horizontal="right"/>
    </xf>
    <xf numFmtId="166" fontId="9" fillId="0" borderId="0" xfId="3" applyNumberFormat="1" applyFont="1" applyFill="1" applyBorder="1"/>
    <xf numFmtId="166" fontId="10" fillId="0" borderId="0" xfId="3" applyNumberFormat="1" applyFont="1" applyFill="1" applyBorder="1"/>
    <xf numFmtId="0" fontId="12" fillId="0" borderId="0" xfId="0" applyFont="1" applyFill="1"/>
    <xf numFmtId="168" fontId="12" fillId="0" borderId="0" xfId="0" applyNumberFormat="1" applyFont="1" applyFill="1"/>
    <xf numFmtId="2" fontId="13" fillId="0" borderId="0" xfId="0" applyNumberFormat="1" applyFont="1" applyAlignment="1">
      <alignment vertical="center"/>
    </xf>
    <xf numFmtId="2" fontId="9" fillId="2" borderId="0" xfId="3" applyNumberFormat="1" applyFont="1" applyFill="1" applyBorder="1" applyAlignment="1">
      <alignment wrapText="1"/>
    </xf>
    <xf numFmtId="164" fontId="0" fillId="0" borderId="0" xfId="0" applyNumberFormat="1"/>
    <xf numFmtId="164" fontId="1" fillId="0" borderId="0" xfId="0" applyNumberFormat="1" applyFont="1" applyFill="1" applyAlignment="1">
      <alignment horizontal="left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0" fillId="0" borderId="0" xfId="0" applyNumberFormat="1" applyFont="1" applyFill="1"/>
    <xf numFmtId="168" fontId="0" fillId="0" borderId="0" xfId="0" applyNumberFormat="1" applyFont="1" applyFill="1"/>
    <xf numFmtId="164" fontId="1" fillId="0" borderId="0" xfId="0" applyNumberFormat="1" applyFont="1"/>
    <xf numFmtId="167" fontId="0" fillId="0" borderId="0" xfId="0" applyNumberFormat="1"/>
    <xf numFmtId="1" fontId="0" fillId="0" borderId="0" xfId="0" applyNumberFormat="1" applyFill="1"/>
    <xf numFmtId="165" fontId="1" fillId="0" borderId="0" xfId="0" applyNumberFormat="1" applyFont="1" applyFill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top" wrapText="1"/>
    </xf>
    <xf numFmtId="165" fontId="0" fillId="0" borderId="0" xfId="0" applyNumberFormat="1" applyFont="1" applyFill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Fill="1"/>
    <xf numFmtId="1" fontId="0" fillId="0" borderId="0" xfId="0" applyNumberFormat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164" fontId="16" fillId="2" borderId="0" xfId="0" applyNumberFormat="1" applyFont="1" applyFill="1" applyAlignment="1">
      <alignment horizontal="left"/>
    </xf>
    <xf numFmtId="165" fontId="16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16" fillId="2" borderId="0" xfId="0" applyNumberFormat="1" applyFont="1" applyFill="1"/>
    <xf numFmtId="164" fontId="12" fillId="2" borderId="0" xfId="0" applyNumberFormat="1" applyFont="1" applyFill="1"/>
    <xf numFmtId="165" fontId="12" fillId="2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2" xfId="0" applyFont="1" applyBorder="1"/>
    <xf numFmtId="0" fontId="0" fillId="0" borderId="0" xfId="0" applyBorder="1"/>
    <xf numFmtId="0" fontId="0" fillId="0" borderId="0" xfId="0"/>
    <xf numFmtId="0" fontId="1" fillId="0" borderId="5" xfId="0" applyFont="1" applyBorder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4" xfId="0" applyFont="1" applyBorder="1"/>
    <xf numFmtId="0" fontId="1" fillId="4" borderId="5" xfId="0" applyFont="1" applyFill="1" applyBorder="1"/>
    <xf numFmtId="0" fontId="0" fillId="4" borderId="0" xfId="0" applyFill="1" applyBorder="1"/>
    <xf numFmtId="0" fontId="0" fillId="4" borderId="5" xfId="0" applyFill="1" applyBorder="1"/>
    <xf numFmtId="167" fontId="0" fillId="4" borderId="0" xfId="0" applyNumberFormat="1" applyFill="1" applyBorder="1"/>
    <xf numFmtId="0" fontId="1" fillId="0" borderId="0" xfId="0" applyFont="1" applyBorder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1" fillId="4" borderId="0" xfId="0" applyFont="1" applyFill="1" applyBorder="1"/>
    <xf numFmtId="0" fontId="0" fillId="0" borderId="0" xfId="0" applyFill="1" applyBorder="1"/>
    <xf numFmtId="2" fontId="22" fillId="0" borderId="0" xfId="0" applyNumberFormat="1" applyFont="1" applyBorder="1" applyAlignment="1">
      <alignment vertical="center"/>
    </xf>
    <xf numFmtId="2" fontId="0" fillId="0" borderId="0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2" xfId="0" applyFont="1" applyBorder="1"/>
    <xf numFmtId="169" fontId="23" fillId="2" borderId="9" xfId="7" applyNumberFormat="1" applyFill="1" applyBorder="1"/>
    <xf numFmtId="3" fontId="0" fillId="0" borderId="0" xfId="0" applyNumberFormat="1" applyBorder="1"/>
    <xf numFmtId="169" fontId="23" fillId="2" borderId="1" xfId="7" applyNumberFormat="1" applyFill="1" applyBorder="1"/>
    <xf numFmtId="169" fontId="23" fillId="2" borderId="0" xfId="7" applyNumberFormat="1" applyFill="1" applyBorder="1"/>
    <xf numFmtId="169" fontId="0" fillId="2" borderId="0" xfId="7" applyNumberFormat="1" applyFont="1" applyFill="1" applyBorder="1"/>
    <xf numFmtId="167" fontId="12" fillId="0" borderId="0" xfId="0" applyNumberFormat="1" applyFont="1" applyFill="1" applyBorder="1"/>
    <xf numFmtId="167" fontId="12" fillId="0" borderId="0" xfId="0" applyNumberFormat="1" applyFont="1"/>
    <xf numFmtId="0" fontId="16" fillId="4" borderId="0" xfId="0" applyFont="1" applyFill="1"/>
    <xf numFmtId="0" fontId="12" fillId="4" borderId="0" xfId="0" applyFont="1" applyFill="1"/>
    <xf numFmtId="0" fontId="16" fillId="4" borderId="0" xfId="0" applyFont="1" applyFill="1" applyBorder="1"/>
    <xf numFmtId="167" fontId="12" fillId="4" borderId="0" xfId="0" applyNumberFormat="1" applyFont="1" applyFill="1" applyBorder="1"/>
    <xf numFmtId="167" fontId="12" fillId="4" borderId="0" xfId="0" applyNumberFormat="1" applyFont="1" applyFill="1"/>
    <xf numFmtId="167" fontId="16" fillId="4" borderId="0" xfId="0" applyNumberFormat="1" applyFont="1" applyFill="1"/>
    <xf numFmtId="167" fontId="0" fillId="0" borderId="0" xfId="0" applyNumberFormat="1" applyFill="1"/>
    <xf numFmtId="167" fontId="16" fillId="2" borderId="0" xfId="0" applyNumberFormat="1" applyFont="1" applyFill="1"/>
    <xf numFmtId="167" fontId="0" fillId="0" borderId="0" xfId="0" applyNumberForma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167" fontId="12" fillId="2" borderId="0" xfId="0" applyNumberFormat="1" applyFont="1" applyFill="1"/>
    <xf numFmtId="0" fontId="0" fillId="0" borderId="0" xfId="0"/>
    <xf numFmtId="0" fontId="0" fillId="2" borderId="0" xfId="0" applyFill="1"/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164" fontId="1" fillId="4" borderId="0" xfId="0" applyNumberFormat="1" applyFont="1" applyFill="1"/>
    <xf numFmtId="164" fontId="0" fillId="4" borderId="0" xfId="0" applyNumberFormat="1" applyFill="1"/>
    <xf numFmtId="165" fontId="0" fillId="4" borderId="0" xfId="0" applyNumberFormat="1" applyFont="1" applyFill="1" applyAlignment="1"/>
    <xf numFmtId="164" fontId="0" fillId="4" borderId="0" xfId="0" applyNumberFormat="1" applyFont="1" applyFill="1"/>
    <xf numFmtId="167" fontId="1" fillId="4" borderId="0" xfId="0" applyNumberFormat="1" applyFont="1" applyFill="1"/>
    <xf numFmtId="167" fontId="0" fillId="4" borderId="0" xfId="0" applyNumberFormat="1" applyFill="1"/>
    <xf numFmtId="0" fontId="0" fillId="4" borderId="0" xfId="0" applyFill="1"/>
    <xf numFmtId="0" fontId="1" fillId="4" borderId="0" xfId="0" applyFont="1" applyFill="1"/>
    <xf numFmtId="0" fontId="0" fillId="0" borderId="2" xfId="0" applyBorder="1"/>
    <xf numFmtId="167" fontId="1" fillId="0" borderId="5" xfId="0" applyNumberFormat="1" applyFont="1" applyBorder="1"/>
    <xf numFmtId="167" fontId="0" fillId="0" borderId="1" xfId="0" applyNumberFormat="1" applyBorder="1"/>
    <xf numFmtId="167" fontId="0" fillId="0" borderId="0" xfId="0" applyNumberFormat="1" applyBorder="1"/>
    <xf numFmtId="167" fontId="0" fillId="0" borderId="5" xfId="0" applyNumberFormat="1" applyBorder="1"/>
    <xf numFmtId="167" fontId="0" fillId="5" borderId="5" xfId="0" applyNumberFormat="1" applyFill="1" applyBorder="1"/>
    <xf numFmtId="167" fontId="0" fillId="0" borderId="1" xfId="0" applyNumberFormat="1" applyFill="1" applyBorder="1"/>
    <xf numFmtId="167" fontId="12" fillId="4" borderId="5" xfId="0" applyNumberFormat="1" applyFont="1" applyFill="1" applyBorder="1"/>
    <xf numFmtId="167" fontId="12" fillId="4" borderId="0" xfId="0" applyNumberFormat="1" applyFont="1" applyFill="1" applyBorder="1" applyAlignment="1"/>
    <xf numFmtId="167" fontId="12" fillId="4" borderId="1" xfId="0" applyNumberFormat="1" applyFont="1" applyFill="1" applyBorder="1" applyAlignment="1"/>
    <xf numFmtId="167" fontId="0" fillId="4" borderId="5" xfId="0" applyNumberFormat="1" applyFont="1" applyFill="1" applyBorder="1" applyAlignment="1"/>
    <xf numFmtId="167" fontId="0" fillId="4" borderId="1" xfId="0" applyNumberFormat="1" applyFill="1" applyBorder="1"/>
    <xf numFmtId="167" fontId="0" fillId="4" borderId="6" xfId="0" applyNumberFormat="1" applyFont="1" applyFill="1" applyBorder="1" applyAlignment="1"/>
    <xf numFmtId="167" fontId="0" fillId="4" borderId="8" xfId="0" applyNumberFormat="1" applyFill="1" applyBorder="1"/>
    <xf numFmtId="167" fontId="12" fillId="4" borderId="6" xfId="0" applyNumberFormat="1" applyFont="1" applyFill="1" applyBorder="1" applyAlignment="1"/>
    <xf numFmtId="167" fontId="12" fillId="4" borderId="7" xfId="0" applyNumberFormat="1" applyFont="1" applyFill="1" applyBorder="1"/>
    <xf numFmtId="167" fontId="12" fillId="4" borderId="8" xfId="0" applyNumberFormat="1" applyFont="1" applyFill="1" applyBorder="1"/>
    <xf numFmtId="167" fontId="12" fillId="0" borderId="0" xfId="0" applyNumberFormat="1" applyFont="1" applyFill="1" applyAlignment="1"/>
    <xf numFmtId="167" fontId="0" fillId="0" borderId="0" xfId="0" applyNumberFormat="1" applyFont="1" applyFill="1" applyAlignment="1"/>
    <xf numFmtId="167" fontId="0" fillId="4" borderId="0" xfId="0" applyNumberFormat="1" applyFont="1" applyFill="1" applyAlignment="1"/>
    <xf numFmtId="167" fontId="25" fillId="0" borderId="0" xfId="0" applyNumberFormat="1" applyFont="1" applyFill="1"/>
    <xf numFmtId="167" fontId="12" fillId="0" borderId="5" xfId="0" applyNumberFormat="1" applyFont="1" applyFill="1" applyBorder="1"/>
    <xf numFmtId="167" fontId="12" fillId="0" borderId="1" xfId="0" applyNumberFormat="1" applyFont="1" applyFill="1" applyBorder="1"/>
    <xf numFmtId="167" fontId="0" fillId="0" borderId="0" xfId="0" applyNumberFormat="1" applyFill="1" applyBorder="1"/>
    <xf numFmtId="167" fontId="1" fillId="0" borderId="2" xfId="0" applyNumberFormat="1" applyFont="1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5" xfId="0" applyNumberFormat="1" applyFont="1" applyFill="1" applyBorder="1" applyAlignment="1"/>
    <xf numFmtId="167" fontId="0" fillId="4" borderId="7" xfId="0" applyNumberFormat="1" applyFill="1" applyBorder="1"/>
    <xf numFmtId="167" fontId="0" fillId="0" borderId="0" xfId="0" applyNumberFormat="1" applyFont="1"/>
    <xf numFmtId="0" fontId="13" fillId="4" borderId="0" xfId="0" applyFont="1" applyFill="1"/>
    <xf numFmtId="167" fontId="13" fillId="4" borderId="0" xfId="0" applyNumberFormat="1" applyFont="1" applyFill="1"/>
    <xf numFmtId="0" fontId="13" fillId="0" borderId="0" xfId="0" applyFont="1"/>
    <xf numFmtId="167" fontId="13" fillId="0" borderId="0" xfId="0" applyNumberFormat="1" applyFont="1"/>
    <xf numFmtId="0" fontId="26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3"/>
    <cellStyle name="Normal 2 2" xfId="6"/>
    <cellStyle name="Normal 2 3" xfId="4"/>
    <cellStyle name="Normal 2 4" xfId="5"/>
    <cellStyle name="Normal 5" xfId="7"/>
    <cellStyle name="Normal_Tabell till fig 17, 18, 19, 20, 22, 24 Elmarknaden (Till GA 10 okt) till ET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53-406E-9E6F-A258C85590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53-406E-9E6F-A258C85590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53-406E-9E6F-A258C85590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53-406E-9E6F-A258C85590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53-406E-9E6F-A258C85590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53-406E-9E6F-A258C85590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Electricity!$A$15:$F$15</c:f>
              <c:strCache>
                <c:ptCount val="6"/>
                <c:pt idx="0">
                  <c:v>Hydro</c:v>
                </c:pt>
                <c:pt idx="1">
                  <c:v>Windmill</c:v>
                </c:pt>
                <c:pt idx="2">
                  <c:v>Nuclear</c:v>
                </c:pt>
                <c:pt idx="3">
                  <c:v>Industriell kraftvärme</c:v>
                </c:pt>
                <c:pt idx="4">
                  <c:v>Kraftvärme</c:v>
                </c:pt>
                <c:pt idx="5">
                  <c:v>Övrig värmekraft</c:v>
                </c:pt>
              </c:strCache>
            </c:strRef>
          </c:cat>
          <c:val>
            <c:numRef>
              <c:f>Electricity!$A$16:$F$16</c:f>
              <c:numCache>
                <c:formatCode>0.00</c:formatCode>
                <c:ptCount val="6"/>
                <c:pt idx="0">
                  <c:v>61709382324.000206</c:v>
                </c:pt>
                <c:pt idx="1">
                  <c:v>15479411857.700052</c:v>
                </c:pt>
                <c:pt idx="2">
                  <c:v>60541530000.000214</c:v>
                </c:pt>
                <c:pt idx="3">
                  <c:v>5526787565.0000191</c:v>
                </c:pt>
                <c:pt idx="4">
                  <c:v>9012499851.2000294</c:v>
                </c:pt>
                <c:pt idx="5">
                  <c:v>16482200.000000058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C-461F-B498-31B94C8E7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866775</xdr:colOff>
      <xdr:row>24</xdr:row>
      <xdr:rowOff>79375</xdr:rowOff>
    </xdr:from>
    <xdr:to>
      <xdr:col>16</xdr:col>
      <xdr:colOff>206375</xdr:colOff>
      <xdr:row>39</xdr:row>
      <xdr:rowOff>60325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workbookViewId="0">
      <selection activeCell="B41" sqref="B41"/>
    </sheetView>
  </sheetViews>
  <sheetFormatPr defaultRowHeight="15"/>
  <cols>
    <col min="1" max="1" width="31.28515625" customWidth="1"/>
    <col min="2" max="2" width="12.140625" customWidth="1"/>
    <col min="3" max="4" width="12.140625" style="107" customWidth="1"/>
    <col min="5" max="5" width="16.140625" customWidth="1"/>
    <col min="6" max="6" width="28.140625" customWidth="1"/>
    <col min="7" max="7" width="18.42578125" customWidth="1"/>
    <col min="8" max="9" width="18.42578125" style="107" customWidth="1"/>
    <col min="11" max="11" width="29.5703125" customWidth="1"/>
    <col min="12" max="12" width="13.85546875" customWidth="1"/>
    <col min="13" max="13" width="14.85546875" customWidth="1"/>
    <col min="14" max="14" width="14.42578125" customWidth="1"/>
  </cols>
  <sheetData>
    <row r="1" spans="1:18">
      <c r="A1" s="119"/>
      <c r="B1" s="62"/>
      <c r="C1" s="65"/>
      <c r="D1" s="65"/>
      <c r="F1" s="119"/>
      <c r="G1" s="62"/>
      <c r="H1" s="65"/>
      <c r="I1" s="65"/>
      <c r="K1" s="119"/>
      <c r="L1" s="60"/>
      <c r="M1" s="60"/>
      <c r="N1" s="62"/>
    </row>
    <row r="2" spans="1:18" s="32" customFormat="1">
      <c r="A2" s="120" t="s">
        <v>255</v>
      </c>
      <c r="B2" s="121"/>
      <c r="C2" s="122"/>
      <c r="D2" s="122"/>
      <c r="F2" s="120" t="s">
        <v>256</v>
      </c>
      <c r="G2" s="121"/>
      <c r="H2" s="122"/>
      <c r="I2" s="122"/>
      <c r="K2" s="120" t="s">
        <v>259</v>
      </c>
      <c r="L2" s="122"/>
      <c r="M2" s="122"/>
      <c r="N2" s="121"/>
    </row>
    <row r="3" spans="1:18" s="32" customFormat="1">
      <c r="A3" s="123" t="s">
        <v>229</v>
      </c>
      <c r="B3" s="121"/>
      <c r="C3" s="122"/>
      <c r="D3" s="122"/>
      <c r="F3" s="123" t="s">
        <v>229</v>
      </c>
      <c r="G3" s="121"/>
      <c r="H3" s="122"/>
      <c r="I3" s="122"/>
      <c r="K3" s="123" t="s">
        <v>272</v>
      </c>
      <c r="L3" s="122"/>
      <c r="M3" s="122"/>
      <c r="N3" s="121"/>
    </row>
    <row r="4" spans="1:18" s="32" customFormat="1">
      <c r="A4" s="123"/>
      <c r="B4" s="121"/>
      <c r="C4" s="122"/>
      <c r="D4" s="122"/>
      <c r="F4" s="123"/>
      <c r="G4" s="121"/>
      <c r="H4" s="122"/>
      <c r="I4" s="122"/>
      <c r="K4" s="123"/>
      <c r="L4" s="122"/>
      <c r="M4" s="122"/>
      <c r="N4" s="121"/>
    </row>
    <row r="5" spans="1:18" s="32" customFormat="1">
      <c r="A5" s="123" t="s">
        <v>233</v>
      </c>
      <c r="B5" s="121">
        <v>395</v>
      </c>
      <c r="C5" s="122"/>
      <c r="D5" s="122"/>
      <c r="F5" s="123" t="s">
        <v>233</v>
      </c>
      <c r="G5" s="121">
        <v>395</v>
      </c>
      <c r="H5" s="122"/>
      <c r="I5" s="122"/>
      <c r="K5" s="123" t="s">
        <v>261</v>
      </c>
      <c r="L5" s="122">
        <f>1241*2/2</f>
        <v>1241</v>
      </c>
      <c r="M5" s="122"/>
      <c r="N5" s="121"/>
    </row>
    <row r="6" spans="1:18" s="32" customFormat="1">
      <c r="A6" s="123" t="s">
        <v>230</v>
      </c>
      <c r="B6" s="121">
        <f>447.3*2</f>
        <v>894.6</v>
      </c>
      <c r="C6" s="122"/>
      <c r="D6" s="122"/>
      <c r="F6" s="123" t="s">
        <v>230</v>
      </c>
      <c r="G6" s="121">
        <f>447.3*2</f>
        <v>894.6</v>
      </c>
      <c r="H6" s="122"/>
      <c r="I6" s="122"/>
      <c r="K6" s="123" t="s">
        <v>271</v>
      </c>
      <c r="L6" s="122">
        <f>286*2</f>
        <v>572</v>
      </c>
      <c r="M6" s="122"/>
      <c r="N6" s="121"/>
    </row>
    <row r="7" spans="1:18" s="32" customFormat="1">
      <c r="A7" s="124" t="s">
        <v>257</v>
      </c>
      <c r="B7" s="121">
        <f>3/10*B6</f>
        <v>268.38</v>
      </c>
      <c r="C7" s="122"/>
      <c r="D7" s="122"/>
      <c r="F7" s="124" t="s">
        <v>258</v>
      </c>
      <c r="G7" s="121">
        <f>3/10*G6</f>
        <v>268.38</v>
      </c>
      <c r="H7" s="122"/>
      <c r="I7" s="122"/>
      <c r="K7" s="123" t="s">
        <v>260</v>
      </c>
      <c r="L7" s="122">
        <f>' Train, bus etc'!B9*'Package tours'!L6</f>
        <v>800.8</v>
      </c>
      <c r="M7" s="122"/>
      <c r="N7" s="125"/>
      <c r="O7" s="102"/>
      <c r="P7" s="102"/>
    </row>
    <row r="8" spans="1:18" s="32" customFormat="1">
      <c r="A8" s="123" t="s">
        <v>231</v>
      </c>
      <c r="B8" s="121">
        <v>0.6</v>
      </c>
      <c r="C8" s="122"/>
      <c r="D8" s="122"/>
      <c r="F8" s="123" t="s">
        <v>231</v>
      </c>
      <c r="G8" s="121">
        <v>0.6</v>
      </c>
      <c r="H8" s="122"/>
      <c r="I8" s="122"/>
      <c r="K8" s="123" t="s">
        <v>274</v>
      </c>
      <c r="L8" s="122">
        <f>L5+L7</f>
        <v>2041.8</v>
      </c>
      <c r="M8" s="122"/>
      <c r="N8" s="121"/>
    </row>
    <row r="9" spans="1:18" s="32" customFormat="1">
      <c r="A9" s="123" t="s">
        <v>232</v>
      </c>
      <c r="B9" s="121">
        <v>50</v>
      </c>
      <c r="C9" s="122"/>
      <c r="D9" s="122"/>
      <c r="F9" s="123" t="s">
        <v>232</v>
      </c>
      <c r="G9" s="121">
        <v>50</v>
      </c>
      <c r="H9" s="122"/>
      <c r="I9" s="122"/>
      <c r="K9" s="123"/>
      <c r="L9" s="122"/>
      <c r="M9" s="122"/>
      <c r="N9" s="121"/>
    </row>
    <row r="10" spans="1:18" s="32" customFormat="1">
      <c r="A10" s="123" t="s">
        <v>234</v>
      </c>
      <c r="B10" s="121">
        <f>B9*B8*B5</f>
        <v>11850</v>
      </c>
      <c r="C10" s="122"/>
      <c r="D10" s="122"/>
      <c r="F10" s="123" t="s">
        <v>234</v>
      </c>
      <c r="G10" s="121">
        <f>G9*G8*G5</f>
        <v>11850</v>
      </c>
      <c r="H10" s="122"/>
      <c r="I10" s="122"/>
      <c r="K10" s="126"/>
      <c r="L10" s="127" t="s">
        <v>226</v>
      </c>
      <c r="M10" s="127" t="s">
        <v>253</v>
      </c>
      <c r="N10" s="128" t="s">
        <v>254</v>
      </c>
    </row>
    <row r="11" spans="1:18" s="32" customFormat="1">
      <c r="A11" s="129" t="s">
        <v>226</v>
      </c>
      <c r="B11" s="130">
        <f>(B7*Fuels!C55)/B10</f>
        <v>7.9630724050632901E-2</v>
      </c>
      <c r="C11" s="142"/>
      <c r="D11" s="142"/>
      <c r="F11" s="129" t="s">
        <v>226</v>
      </c>
      <c r="G11" s="130">
        <f>(G7*Fuels!C60)/G10</f>
        <v>3.4425113924050628E-2</v>
      </c>
      <c r="H11" s="142"/>
      <c r="I11" s="142"/>
      <c r="K11" s="140" t="s">
        <v>2</v>
      </c>
      <c r="L11" s="94">
        <v>2.4230000000000002E-2</v>
      </c>
      <c r="M11" s="94">
        <v>1.4279999999999999E-2</v>
      </c>
      <c r="N11" s="141">
        <v>4.96E-3</v>
      </c>
      <c r="R11" s="102"/>
    </row>
    <row r="12" spans="1:18" s="32" customFormat="1">
      <c r="A12" s="129" t="s">
        <v>253</v>
      </c>
      <c r="B12" s="130">
        <f>(B7*Fuels!D55)/B10</f>
        <v>1.8692610379746836E-4</v>
      </c>
      <c r="C12" s="142"/>
      <c r="D12" s="142"/>
      <c r="F12" s="129" t="s">
        <v>253</v>
      </c>
      <c r="G12" s="130">
        <f>(G7*Fuels!D60)/G10</f>
        <v>9.3014092925316455E-2</v>
      </c>
      <c r="H12" s="142"/>
      <c r="I12" s="142"/>
      <c r="K12" s="140" t="s">
        <v>262</v>
      </c>
      <c r="L12" s="94">
        <f>' Train, bus etc'!C9</f>
        <v>5.2142857142857145E-4</v>
      </c>
      <c r="M12" s="94" t="str">
        <f>' Train, bus etc'!D9</f>
        <v>The main train company in Sweden only uses green electricity: hydro and wind</v>
      </c>
      <c r="N12" s="141">
        <f>' Train, bus etc'!E9</f>
        <v>0</v>
      </c>
      <c r="R12" s="102"/>
    </row>
    <row r="13" spans="1:18" s="32" customFormat="1">
      <c r="A13" s="131" t="s">
        <v>254</v>
      </c>
      <c r="B13" s="132">
        <f>(B7*Fuels!E55)/B10</f>
        <v>1.493868759493671E-4</v>
      </c>
      <c r="C13" s="142"/>
      <c r="D13" s="142"/>
      <c r="F13" s="131" t="s">
        <v>254</v>
      </c>
      <c r="G13" s="132">
        <f>(G7*Fuels!E60)/G10</f>
        <v>2.1228744759493672E-4</v>
      </c>
      <c r="H13" s="142"/>
      <c r="I13" s="142"/>
      <c r="K13" s="133" t="s">
        <v>273</v>
      </c>
      <c r="L13" s="134">
        <f>((L11*L5)+(L7*L12))/L8</f>
        <v>1.4931428151630914E-2</v>
      </c>
      <c r="M13" s="134">
        <f>M11</f>
        <v>1.4279999999999999E-2</v>
      </c>
      <c r="N13" s="135">
        <f>N11</f>
        <v>4.96E-3</v>
      </c>
      <c r="R13" s="102"/>
    </row>
    <row r="14" spans="1:18" s="32" customFormat="1">
      <c r="K14" s="136"/>
      <c r="L14" s="95"/>
      <c r="M14" s="95"/>
      <c r="N14" s="95"/>
    </row>
    <row r="15" spans="1:18" s="32" customFormat="1"/>
    <row r="16" spans="1:18" s="32" customFormat="1">
      <c r="A16" s="143" t="s">
        <v>275</v>
      </c>
      <c r="B16" s="144"/>
      <c r="C16" s="144"/>
      <c r="D16" s="145"/>
      <c r="F16" s="143" t="s">
        <v>276</v>
      </c>
      <c r="G16" s="144"/>
      <c r="H16" s="144"/>
      <c r="I16" s="145"/>
      <c r="K16" s="143" t="s">
        <v>277</v>
      </c>
      <c r="L16" s="144"/>
      <c r="M16" s="144"/>
      <c r="N16" s="145"/>
    </row>
    <row r="17" spans="1:14" s="32" customFormat="1">
      <c r="A17" s="123" t="s">
        <v>278</v>
      </c>
      <c r="B17" s="122"/>
      <c r="C17" s="122"/>
      <c r="D17" s="121"/>
      <c r="F17" s="123" t="s">
        <v>285</v>
      </c>
      <c r="G17" s="122"/>
      <c r="H17" s="122"/>
      <c r="I17" s="121"/>
      <c r="K17" s="123" t="s">
        <v>287</v>
      </c>
      <c r="L17" s="122"/>
      <c r="M17" s="122"/>
      <c r="N17" s="121"/>
    </row>
    <row r="18" spans="1:14" s="32" customFormat="1">
      <c r="A18" s="123"/>
      <c r="B18" s="122"/>
      <c r="C18" s="122"/>
      <c r="D18" s="121"/>
      <c r="F18" s="123"/>
      <c r="G18" s="122"/>
      <c r="H18" s="122"/>
      <c r="I18" s="121"/>
      <c r="K18" s="123"/>
      <c r="L18" s="122"/>
      <c r="M18" s="122"/>
      <c r="N18" s="121"/>
    </row>
    <row r="19" spans="1:14" s="32" customFormat="1">
      <c r="A19" s="123" t="s">
        <v>281</v>
      </c>
      <c r="B19" s="122">
        <f>(7293+5000+7775+6586+5242+10168+9548+14096+6548+4750)/10</f>
        <v>7700.6</v>
      </c>
      <c r="C19" s="122"/>
      <c r="D19" s="121"/>
      <c r="F19" s="123" t="s">
        <v>281</v>
      </c>
      <c r="G19" s="122">
        <f>(7293+5000+7775+6586+5242+10168+9548+14096+6548+4750)/10</f>
        <v>7700.6</v>
      </c>
      <c r="H19" s="122"/>
      <c r="I19" s="121"/>
      <c r="J19" s="142"/>
      <c r="K19" s="123" t="s">
        <v>290</v>
      </c>
      <c r="L19" s="142">
        <f>213*2*10</f>
        <v>4260</v>
      </c>
      <c r="M19" s="122"/>
      <c r="N19" s="121"/>
    </row>
    <row r="20" spans="1:14" s="32" customFormat="1">
      <c r="A20" s="123" t="s">
        <v>280</v>
      </c>
      <c r="B20" s="122">
        <f>C20</f>
        <v>3.3000000000000002E-2</v>
      </c>
      <c r="C20" s="122">
        <f>(0.026+0.04)/2</f>
        <v>3.3000000000000002E-2</v>
      </c>
      <c r="D20" s="121"/>
      <c r="F20" s="123" t="s">
        <v>280</v>
      </c>
      <c r="G20" s="122">
        <f>B20</f>
        <v>3.3000000000000002E-2</v>
      </c>
      <c r="H20" s="122"/>
      <c r="I20" s="121"/>
      <c r="J20" s="142"/>
      <c r="K20" s="123" t="s">
        <v>292</v>
      </c>
      <c r="L20" s="122">
        <f>700*2</f>
        <v>1400</v>
      </c>
      <c r="M20" s="122"/>
      <c r="N20" s="121"/>
    </row>
    <row r="21" spans="1:14" s="32" customFormat="1">
      <c r="A21" s="123" t="s">
        <v>310</v>
      </c>
      <c r="B21" s="122">
        <f>4303*2</f>
        <v>8606</v>
      </c>
      <c r="C21" s="122"/>
      <c r="D21" s="121"/>
      <c r="F21" s="123" t="s">
        <v>310</v>
      </c>
      <c r="G21" s="122">
        <f>4303*2</f>
        <v>8606</v>
      </c>
      <c r="H21" s="122"/>
      <c r="I21" s="121"/>
      <c r="J21" s="142"/>
      <c r="K21" s="123" t="s">
        <v>293</v>
      </c>
      <c r="L21" s="122">
        <f>(6356+2458+3819+5668+6300+4929+7805+5562+10248+3509)/10</f>
        <v>5665.4</v>
      </c>
      <c r="M21" s="122"/>
      <c r="N21" s="121"/>
    </row>
    <row r="22" spans="1:14" s="32" customFormat="1">
      <c r="A22" s="123" t="s">
        <v>279</v>
      </c>
      <c r="B22" s="122">
        <f>B20*B21</f>
        <v>283.99799999999999</v>
      </c>
      <c r="C22" s="122"/>
      <c r="D22" s="121"/>
      <c r="F22" s="123" t="s">
        <v>279</v>
      </c>
      <c r="G22" s="122">
        <f>G20*G21</f>
        <v>283.99799999999999</v>
      </c>
      <c r="H22" s="122"/>
      <c r="I22" s="121"/>
      <c r="J22" s="142"/>
      <c r="K22" s="123" t="s">
        <v>294</v>
      </c>
      <c r="L22" s="122">
        <f>L19+L20+L21</f>
        <v>11325.4</v>
      </c>
      <c r="M22" s="122"/>
      <c r="N22" s="121"/>
    </row>
    <row r="23" spans="1:14" s="32" customFormat="1">
      <c r="A23" s="123" t="s">
        <v>282</v>
      </c>
      <c r="B23" s="122">
        <v>0.55000000000000004</v>
      </c>
      <c r="C23" s="122"/>
      <c r="D23" s="121"/>
      <c r="F23" s="123" t="s">
        <v>282</v>
      </c>
      <c r="G23" s="122">
        <v>0.55000000000000004</v>
      </c>
      <c r="H23" s="122"/>
      <c r="I23" s="121"/>
      <c r="J23" s="142"/>
      <c r="K23" s="123" t="s">
        <v>291</v>
      </c>
      <c r="L23" s="142">
        <f>1544*2</f>
        <v>3088</v>
      </c>
      <c r="M23" s="122"/>
      <c r="N23" s="121"/>
    </row>
    <row r="24" spans="1:14" s="32" customFormat="1">
      <c r="A24" s="123"/>
      <c r="B24" s="122"/>
      <c r="C24" s="122"/>
      <c r="D24" s="121"/>
      <c r="F24" s="123"/>
      <c r="G24" s="122"/>
      <c r="H24" s="122"/>
      <c r="I24" s="121"/>
      <c r="J24" s="142"/>
      <c r="K24" s="123" t="s">
        <v>288</v>
      </c>
      <c r="L24" s="142">
        <v>600</v>
      </c>
      <c r="M24" s="122"/>
      <c r="N24" s="121"/>
    </row>
    <row r="25" spans="1:14" s="32" customFormat="1">
      <c r="A25" s="123"/>
      <c r="B25" s="122"/>
      <c r="C25" s="122"/>
      <c r="D25" s="121"/>
      <c r="F25" s="123"/>
      <c r="G25" s="122"/>
      <c r="H25" s="122"/>
      <c r="I25" s="121"/>
      <c r="J25" s="142"/>
      <c r="K25" s="123" t="s">
        <v>289</v>
      </c>
      <c r="L25" s="142">
        <f>L23-L24</f>
        <v>2488</v>
      </c>
      <c r="M25" s="122"/>
      <c r="N25" s="121"/>
    </row>
    <row r="26" spans="1:14" s="32" customFormat="1">
      <c r="A26" s="123"/>
      <c r="B26" s="122" t="s">
        <v>1</v>
      </c>
      <c r="C26" s="122" t="s">
        <v>2</v>
      </c>
      <c r="D26" s="121" t="s">
        <v>217</v>
      </c>
      <c r="F26" s="123"/>
      <c r="G26" s="122" t="s">
        <v>1</v>
      </c>
      <c r="H26" s="122" t="s">
        <v>2</v>
      </c>
      <c r="I26" s="121" t="s">
        <v>217</v>
      </c>
      <c r="J26" s="142"/>
      <c r="K26" s="123"/>
      <c r="L26" s="122"/>
      <c r="M26" s="122"/>
      <c r="N26" s="121"/>
    </row>
    <row r="27" spans="1:14" s="102" customFormat="1">
      <c r="A27" s="146" t="s">
        <v>9</v>
      </c>
      <c r="B27" s="142">
        <f>B22*Fuels!C56</f>
        <v>1454.5241567999999</v>
      </c>
      <c r="C27" s="142">
        <f>B19*B23*B38</f>
        <v>118.58924000000003</v>
      </c>
      <c r="D27" s="125">
        <f>B27+C27</f>
        <v>1573.1133967999999</v>
      </c>
      <c r="F27" s="146" t="s">
        <v>9</v>
      </c>
      <c r="G27" s="142">
        <f>G22*Fuels!C59</f>
        <v>787.42606070700003</v>
      </c>
      <c r="H27" s="142">
        <f>G19*G23*B38</f>
        <v>118.58924000000003</v>
      </c>
      <c r="I27" s="125">
        <f>G27+H27</f>
        <v>906.01530070700005</v>
      </c>
      <c r="J27" s="142"/>
      <c r="K27" s="123"/>
      <c r="L27" s="122" t="s">
        <v>262</v>
      </c>
      <c r="M27" s="122" t="s">
        <v>2</v>
      </c>
      <c r="N27" s="121" t="s">
        <v>217</v>
      </c>
    </row>
    <row r="28" spans="1:14" s="102" customFormat="1">
      <c r="A28" s="146" t="s">
        <v>10</v>
      </c>
      <c r="B28" s="142">
        <f>B22*Fuels!D56</f>
        <v>1.072376448</v>
      </c>
      <c r="C28" s="142">
        <f>B19*B23*B39</f>
        <v>50.823960000000014</v>
      </c>
      <c r="D28" s="125">
        <f>B28+C28</f>
        <v>51.896336448000014</v>
      </c>
      <c r="F28" s="146" t="s">
        <v>10</v>
      </c>
      <c r="G28" s="142">
        <f>G22*Fuels!D59</f>
        <v>1165.7231826239999</v>
      </c>
      <c r="H28" s="142">
        <f>G19*G23*B39</f>
        <v>50.823960000000014</v>
      </c>
      <c r="I28" s="125">
        <f>G28+H28</f>
        <v>1216.5471426239999</v>
      </c>
      <c r="J28" s="142"/>
      <c r="K28" s="146" t="s">
        <v>9</v>
      </c>
      <c r="L28" s="142">
        <f>L25*' Train, bus etc'!B5+L24*' Train, bus etc'!B4</f>
        <v>83.512320000000017</v>
      </c>
      <c r="M28" s="142">
        <f>L21*B38</f>
        <v>158.63120000000001</v>
      </c>
      <c r="N28" s="125">
        <f>L28+M28</f>
        <v>242.14352000000002</v>
      </c>
    </row>
    <row r="29" spans="1:14" s="102" customFormat="1">
      <c r="A29" s="146" t="s">
        <v>11</v>
      </c>
      <c r="B29" s="142">
        <f>B22*Fuels!E56</f>
        <v>1.701716016</v>
      </c>
      <c r="C29" s="142">
        <f>B19*B23*B40</f>
        <v>326.12041000000005</v>
      </c>
      <c r="D29" s="125">
        <f>B29+C29</f>
        <v>327.82212601600003</v>
      </c>
      <c r="F29" s="146" t="s">
        <v>11</v>
      </c>
      <c r="G29" s="142">
        <f>G22*Fuels!E59</f>
        <v>2.5762310574000002</v>
      </c>
      <c r="H29" s="142">
        <f>G19*G23*B40</f>
        <v>326.12041000000005</v>
      </c>
      <c r="I29" s="125">
        <f>G29+H29</f>
        <v>328.69664105740003</v>
      </c>
      <c r="J29" s="142"/>
      <c r="K29" s="146" t="s">
        <v>10</v>
      </c>
      <c r="L29" s="142"/>
      <c r="M29" s="142">
        <f>L21*B39</f>
        <v>67.984799999999993</v>
      </c>
      <c r="N29" s="125">
        <f>L29+M29</f>
        <v>67.984799999999993</v>
      </c>
    </row>
    <row r="30" spans="1:14" s="102" customFormat="1">
      <c r="A30" s="146"/>
      <c r="B30" s="142"/>
      <c r="C30" s="142"/>
      <c r="D30" s="125"/>
      <c r="F30" s="146"/>
      <c r="G30" s="142"/>
      <c r="H30" s="142"/>
      <c r="I30" s="125"/>
      <c r="J30" s="142"/>
      <c r="K30" s="146" t="s">
        <v>11</v>
      </c>
      <c r="L30" s="142"/>
      <c r="M30" s="142">
        <f>L21*B40</f>
        <v>436.23579999999998</v>
      </c>
      <c r="N30" s="125">
        <f>L30+M30</f>
        <v>436.23579999999998</v>
      </c>
    </row>
    <row r="31" spans="1:14" s="32" customFormat="1">
      <c r="A31" s="120" t="s">
        <v>284</v>
      </c>
      <c r="B31" s="122"/>
      <c r="C31" s="122"/>
      <c r="D31" s="121"/>
      <c r="F31" s="120" t="s">
        <v>286</v>
      </c>
      <c r="G31" s="122"/>
      <c r="H31" s="122"/>
      <c r="I31" s="121"/>
      <c r="J31" s="142"/>
      <c r="K31" s="123"/>
      <c r="L31" s="122"/>
      <c r="M31" s="122"/>
      <c r="N31" s="121"/>
    </row>
    <row r="32" spans="1:14" s="32" customFormat="1">
      <c r="A32" s="129" t="s">
        <v>226</v>
      </c>
      <c r="B32" s="77">
        <f>D27/B19</f>
        <v>0.20428452286834789</v>
      </c>
      <c r="C32" s="77"/>
      <c r="D32" s="130"/>
      <c r="F32" s="129" t="s">
        <v>226</v>
      </c>
      <c r="G32" s="77">
        <f>I27/G19</f>
        <v>0.11765515683284419</v>
      </c>
      <c r="H32" s="77"/>
      <c r="I32" s="130"/>
      <c r="J32" s="142"/>
      <c r="K32" s="129" t="s">
        <v>226</v>
      </c>
      <c r="L32" s="77">
        <f>N28/L22</f>
        <v>2.1380571105656315E-2</v>
      </c>
      <c r="M32" s="77"/>
      <c r="N32" s="130"/>
    </row>
    <row r="33" spans="1:14" s="32" customFormat="1">
      <c r="A33" s="129" t="s">
        <v>253</v>
      </c>
      <c r="B33" s="77">
        <f>D28/B19</f>
        <v>6.7392588172350224E-3</v>
      </c>
      <c r="C33" s="77"/>
      <c r="D33" s="130"/>
      <c r="F33" s="129" t="s">
        <v>253</v>
      </c>
      <c r="G33" s="77">
        <f>I28/G19</f>
        <v>0.15798082521154194</v>
      </c>
      <c r="H33" s="77"/>
      <c r="I33" s="130"/>
      <c r="J33" s="142"/>
      <c r="K33" s="129" t="s">
        <v>253</v>
      </c>
      <c r="L33" s="77">
        <f>N29/L22</f>
        <v>6.0028608261076871E-3</v>
      </c>
      <c r="M33" s="77"/>
      <c r="N33" s="130"/>
    </row>
    <row r="34" spans="1:14" s="32" customFormat="1">
      <c r="A34" s="131" t="s">
        <v>254</v>
      </c>
      <c r="B34" s="147">
        <f>D29/B19</f>
        <v>4.2570984860400493E-2</v>
      </c>
      <c r="C34" s="147"/>
      <c r="D34" s="132"/>
      <c r="F34" s="131" t="s">
        <v>254</v>
      </c>
      <c r="G34" s="147">
        <f>I29/G19</f>
        <v>4.2684549393216115E-2</v>
      </c>
      <c r="H34" s="147"/>
      <c r="I34" s="132"/>
      <c r="J34" s="142"/>
      <c r="K34" s="131" t="s">
        <v>254</v>
      </c>
      <c r="L34" s="147">
        <f>N30/L22</f>
        <v>3.8518356967524328E-2</v>
      </c>
      <c r="M34" s="147"/>
      <c r="N34" s="132"/>
    </row>
    <row r="35" spans="1:14" s="32" customFormat="1">
      <c r="J35" s="142"/>
      <c r="K35" s="142"/>
      <c r="L35" s="142"/>
    </row>
    <row r="36" spans="1:14" s="32" customFormat="1">
      <c r="J36" s="142"/>
      <c r="K36" s="142"/>
      <c r="L36" s="142"/>
    </row>
    <row r="37" spans="1:14" s="32" customFormat="1">
      <c r="A37" s="110" t="s">
        <v>283</v>
      </c>
      <c r="B37" s="139"/>
      <c r="C37" s="139"/>
      <c r="D37" s="139"/>
      <c r="F37" s="139"/>
      <c r="G37" s="102"/>
      <c r="H37" s="102"/>
      <c r="I37" s="102"/>
      <c r="J37" s="142"/>
      <c r="K37" s="142"/>
      <c r="L37" s="142"/>
    </row>
    <row r="38" spans="1:14" s="32" customFormat="1">
      <c r="A38" s="137" t="s">
        <v>226</v>
      </c>
      <c r="B38" s="102">
        <v>2.8000000000000001E-2</v>
      </c>
      <c r="C38" s="102"/>
      <c r="D38" s="102"/>
    </row>
    <row r="39" spans="1:14" s="32" customFormat="1">
      <c r="A39" s="137" t="s">
        <v>253</v>
      </c>
      <c r="B39" s="102">
        <v>1.2E-2</v>
      </c>
      <c r="C39" s="102"/>
      <c r="D39" s="102"/>
    </row>
    <row r="40" spans="1:14" s="32" customFormat="1">
      <c r="A40" s="137" t="s">
        <v>254</v>
      </c>
      <c r="B40" s="102">
        <v>7.6999999999999999E-2</v>
      </c>
      <c r="C40" s="102"/>
      <c r="D40" s="102"/>
    </row>
    <row r="41" spans="1:14" s="32" customFormat="1"/>
    <row r="42" spans="1:14" s="32" customFormat="1"/>
    <row r="43" spans="1:14" s="32" customFormat="1"/>
    <row r="44" spans="1:14" s="32" customFormat="1"/>
  </sheetData>
  <sheetProtection algorithmName="SHA-512" hashValue="6mYxUNgPaH/h09u9WvU0T7HEatQQZ4MA5nNYpgC54dFuIw0un++vTrkUHWKVCkFXMnJtm5r8BpvzzQFel8ojbA==" saltValue="Vju1QXyhV3HhEdgCWZBdwQ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24" sqref="A24"/>
    </sheetView>
  </sheetViews>
  <sheetFormatPr defaultRowHeight="15"/>
  <cols>
    <col min="1" max="2" width="31.85546875" customWidth="1"/>
    <col min="3" max="3" width="30.5703125" customWidth="1"/>
    <col min="4" max="4" width="24.140625" customWidth="1"/>
  </cols>
  <sheetData>
    <row r="1" spans="1:7">
      <c r="A1" s="1" t="s">
        <v>3</v>
      </c>
    </row>
    <row r="3" spans="1:7">
      <c r="A3" t="s">
        <v>295</v>
      </c>
      <c r="B3">
        <f>'Package tours'!B19</f>
        <v>7700.6</v>
      </c>
    </row>
    <row r="5" spans="1:7">
      <c r="A5" s="42" t="s">
        <v>296</v>
      </c>
    </row>
    <row r="6" spans="1:7" s="45" customFormat="1" ht="31.5" customHeight="1"/>
    <row r="7" spans="1:7" s="45" customFormat="1">
      <c r="B7" s="129" t="s">
        <v>226</v>
      </c>
      <c r="C7" s="129" t="s">
        <v>253</v>
      </c>
      <c r="D7" s="131" t="s">
        <v>254</v>
      </c>
    </row>
    <row r="8" spans="1:7" s="45" customFormat="1">
      <c r="A8" s="146" t="s">
        <v>297</v>
      </c>
      <c r="B8" s="45">
        <v>1.669E-2</v>
      </c>
      <c r="C8" s="45">
        <v>1.75E-3</v>
      </c>
      <c r="D8" s="45">
        <v>2.99E-3</v>
      </c>
    </row>
    <row r="9" spans="1:7">
      <c r="A9" t="s">
        <v>298</v>
      </c>
      <c r="B9" s="45">
        <v>1.325E-2</v>
      </c>
      <c r="C9" s="45">
        <v>2.0799999999999998E-3</v>
      </c>
      <c r="D9" s="45">
        <v>4.8199999999999996E-3</v>
      </c>
      <c r="E9" s="45" t="s">
        <v>227</v>
      </c>
      <c r="F9" s="45"/>
    </row>
    <row r="10" spans="1:7">
      <c r="A10" t="s">
        <v>194</v>
      </c>
      <c r="B10" s="117">
        <f>AVERAGE(B8:B9)</f>
        <v>1.4970000000000001E-2</v>
      </c>
      <c r="C10" s="117">
        <f t="shared" ref="C10:D10" si="0">AVERAGE(C8:C9)</f>
        <v>1.915E-3</v>
      </c>
      <c r="D10" s="117">
        <f t="shared" si="0"/>
        <v>3.9049999999999996E-3</v>
      </c>
    </row>
    <row r="11" spans="1:7" ht="15.95" customHeight="1">
      <c r="B11" s="108"/>
      <c r="C11" s="108"/>
      <c r="D11" s="108"/>
      <c r="E11" s="108"/>
      <c r="F11" s="108"/>
      <c r="G11" s="108"/>
    </row>
    <row r="12" spans="1:7" hidden="1">
      <c r="A12" s="108"/>
      <c r="B12" s="108"/>
      <c r="C12" s="108"/>
      <c r="D12" s="108"/>
      <c r="E12" s="108"/>
      <c r="F12" s="108"/>
      <c r="G12" s="108"/>
    </row>
  </sheetData>
  <sheetProtection algorithmName="SHA-512" hashValue="cEarBZi6ypXcKWQWmnRWkeSXCd19/Mma5f6ZlsntL+qAtGCUh1UMQ2Dv32KKxvgEAP3JYkKzP2kBeQfT717OrA==" saltValue="jbt7jn+td2+X5Vjfd8Pou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opLeftCell="A32" workbookViewId="0">
      <selection activeCell="I50" sqref="I50"/>
    </sheetView>
  </sheetViews>
  <sheetFormatPr defaultRowHeight="15"/>
  <cols>
    <col min="1" max="2" width="22.42578125" customWidth="1"/>
    <col min="3" max="3" width="13.140625" bestFit="1" customWidth="1"/>
    <col min="4" max="4" width="12.140625" bestFit="1" customWidth="1"/>
    <col min="5" max="5" width="16.42578125" bestFit="1" customWidth="1"/>
    <col min="6" max="6" width="21.140625" customWidth="1"/>
    <col min="7" max="7" width="24.5703125" customWidth="1"/>
    <col min="8" max="8" width="27" customWidth="1"/>
    <col min="9" max="9" width="27.140625" customWidth="1"/>
    <col min="10" max="10" width="30.42578125" customWidth="1"/>
    <col min="11" max="11" width="17" bestFit="1" customWidth="1"/>
    <col min="13" max="13" width="14.140625" customWidth="1"/>
    <col min="14" max="14" width="14.5703125" customWidth="1"/>
    <col min="15" max="15" width="11.85546875" bestFit="1" customWidth="1"/>
    <col min="22" max="22" width="9.42578125" bestFit="1" customWidth="1"/>
  </cols>
  <sheetData>
    <row r="1" spans="1:20">
      <c r="A1" s="3" t="s">
        <v>69</v>
      </c>
    </row>
    <row r="3" spans="1:20" ht="15.75">
      <c r="A3" s="5"/>
      <c r="B3" s="6"/>
      <c r="C3" s="6"/>
      <c r="D3" s="6"/>
      <c r="E3" s="6"/>
      <c r="F3" s="6"/>
      <c r="G3" s="6"/>
      <c r="H3" s="6"/>
      <c r="I3" s="6"/>
    </row>
    <row r="4" spans="1:20" ht="15.75">
      <c r="A4" s="4" t="s">
        <v>87</v>
      </c>
      <c r="B4" s="4"/>
      <c r="C4" s="4"/>
      <c r="D4" s="4"/>
      <c r="E4" s="4"/>
      <c r="F4" s="4"/>
      <c r="G4" s="4"/>
      <c r="H4" s="4"/>
      <c r="I4" s="4"/>
    </row>
    <row r="5" spans="1:20" ht="15.75">
      <c r="A5" s="5"/>
      <c r="B5" s="6"/>
      <c r="C5" s="6"/>
      <c r="D5" s="6"/>
      <c r="E5" s="6"/>
      <c r="F5" s="6"/>
      <c r="G5" s="6"/>
      <c r="H5" s="6"/>
      <c r="I5" s="6"/>
      <c r="R5" s="16"/>
      <c r="S5" s="16"/>
      <c r="T5" s="16"/>
    </row>
    <row r="6" spans="1:20" ht="15.75">
      <c r="A6" s="6" t="s">
        <v>70</v>
      </c>
      <c r="B6" s="6" t="s">
        <v>71</v>
      </c>
      <c r="C6" s="6" t="s">
        <v>72</v>
      </c>
      <c r="D6" s="6" t="s">
        <v>73</v>
      </c>
      <c r="E6" s="6" t="s">
        <v>74</v>
      </c>
      <c r="F6" s="6" t="s">
        <v>75</v>
      </c>
      <c r="G6" s="6" t="s">
        <v>76</v>
      </c>
      <c r="H6" s="6" t="s">
        <v>77</v>
      </c>
      <c r="R6" s="16"/>
      <c r="S6" s="16"/>
      <c r="T6" s="16"/>
    </row>
    <row r="7" spans="1:20" ht="26.25">
      <c r="A7" s="7" t="s">
        <v>94</v>
      </c>
      <c r="B7" s="7" t="s">
        <v>95</v>
      </c>
      <c r="C7" s="7" t="s">
        <v>96</v>
      </c>
      <c r="D7" s="7" t="s">
        <v>79</v>
      </c>
      <c r="E7" s="7" t="s">
        <v>80</v>
      </c>
      <c r="F7" s="7" t="s">
        <v>81</v>
      </c>
      <c r="G7" s="7" t="s">
        <v>82</v>
      </c>
      <c r="H7" s="7" t="s">
        <v>83</v>
      </c>
      <c r="R7" s="16"/>
      <c r="S7" s="16"/>
      <c r="T7" s="16"/>
    </row>
    <row r="8" spans="1:20" s="21" customFormat="1">
      <c r="A8" s="18">
        <v>61.70938232400021</v>
      </c>
      <c r="B8" s="18">
        <v>15.479411857700052</v>
      </c>
      <c r="C8" s="18">
        <v>60.541530000000215</v>
      </c>
      <c r="D8" s="18">
        <v>5.5267875650000189</v>
      </c>
      <c r="E8" s="18">
        <v>9.0124998512000296</v>
      </c>
      <c r="F8" s="19">
        <v>1.6482200000000058E-2</v>
      </c>
      <c r="G8" s="20">
        <v>152.28609379790052</v>
      </c>
      <c r="H8" s="19">
        <v>-11.73468000000004</v>
      </c>
      <c r="R8" s="22"/>
      <c r="S8" s="22"/>
      <c r="T8" s="22"/>
    </row>
    <row r="9" spans="1:20">
      <c r="A9" s="8"/>
      <c r="B9" s="9"/>
      <c r="C9" s="9"/>
      <c r="D9" s="9"/>
      <c r="E9" s="9"/>
      <c r="G9" s="9"/>
      <c r="H9" s="10"/>
      <c r="I9" s="9"/>
      <c r="R9" s="16"/>
      <c r="S9" s="16"/>
      <c r="T9" s="16"/>
    </row>
    <row r="10" spans="1:20">
      <c r="A10" s="11" t="s">
        <v>84</v>
      </c>
      <c r="I10" s="9"/>
      <c r="R10" s="16"/>
      <c r="S10" s="16"/>
      <c r="T10" s="16"/>
    </row>
    <row r="11" spans="1:20">
      <c r="A11" s="12" t="s">
        <v>85</v>
      </c>
      <c r="R11" s="16"/>
      <c r="S11" s="16"/>
      <c r="T11" s="16"/>
    </row>
    <row r="12" spans="1:20">
      <c r="A12" s="13" t="s">
        <v>86</v>
      </c>
      <c r="R12" s="16"/>
      <c r="S12" s="16"/>
      <c r="T12" s="16"/>
    </row>
    <row r="13" spans="1:20">
      <c r="A13" s="7"/>
      <c r="B13" s="7"/>
      <c r="C13" s="7"/>
      <c r="D13" s="7"/>
      <c r="E13" s="7"/>
      <c r="F13" s="7"/>
      <c r="G13" s="7"/>
      <c r="H13" s="7"/>
      <c r="I13" s="7"/>
      <c r="R13" s="16"/>
      <c r="S13" s="16"/>
      <c r="T13" s="16"/>
    </row>
    <row r="14" spans="1:20" ht="63">
      <c r="A14" s="17" t="s">
        <v>88</v>
      </c>
      <c r="B14" s="7"/>
      <c r="C14" s="7"/>
      <c r="D14" s="7"/>
      <c r="E14" s="7"/>
      <c r="F14" s="7"/>
      <c r="G14" s="7"/>
      <c r="H14" s="7"/>
      <c r="I14" s="7"/>
      <c r="R14" s="16"/>
      <c r="S14" s="16"/>
      <c r="T14" s="16"/>
    </row>
    <row r="15" spans="1:20" ht="26.25">
      <c r="A15" s="7" t="str">
        <f>A7</f>
        <v>Hydro</v>
      </c>
      <c r="B15" s="7" t="str">
        <f t="shared" ref="B15:G15" si="0">B7</f>
        <v>Windmill</v>
      </c>
      <c r="C15" s="7" t="str">
        <f t="shared" si="0"/>
        <v>Nuclear</v>
      </c>
      <c r="D15" s="7" t="str">
        <f t="shared" si="0"/>
        <v>Industriell kraftvärme</v>
      </c>
      <c r="E15" s="7" t="str">
        <f t="shared" si="0"/>
        <v>Kraftvärme</v>
      </c>
      <c r="F15" s="7" t="str">
        <f t="shared" si="0"/>
        <v>Övrig värmekraft</v>
      </c>
      <c r="G15" s="7" t="str">
        <f t="shared" si="0"/>
        <v>Totalt</v>
      </c>
      <c r="H15" s="7" t="s">
        <v>83</v>
      </c>
      <c r="I15" s="7" t="s">
        <v>100</v>
      </c>
      <c r="K15" s="1" t="s">
        <v>89</v>
      </c>
      <c r="R15" s="16"/>
      <c r="S15" s="16"/>
      <c r="T15" s="16"/>
    </row>
    <row r="16" spans="1:20">
      <c r="A16" s="24">
        <f t="shared" ref="A16:G16" si="1">A8*$K$16</f>
        <v>61709382324.000206</v>
      </c>
      <c r="B16" s="24">
        <f t="shared" si="1"/>
        <v>15479411857.700052</v>
      </c>
      <c r="C16" s="24">
        <f t="shared" si="1"/>
        <v>60541530000.000214</v>
      </c>
      <c r="D16" s="24">
        <f t="shared" si="1"/>
        <v>5526787565.0000191</v>
      </c>
      <c r="E16" s="24">
        <f t="shared" si="1"/>
        <v>9012499851.2000294</v>
      </c>
      <c r="F16" s="24">
        <f t="shared" si="1"/>
        <v>16482200.000000058</v>
      </c>
      <c r="G16" s="24">
        <f t="shared" si="1"/>
        <v>152286093797.90051</v>
      </c>
      <c r="H16" s="24">
        <f>H8*K16</f>
        <v>-11734680000.00004</v>
      </c>
      <c r="I16" s="7">
        <v>11734680000</v>
      </c>
      <c r="K16" s="23">
        <v>1000000000</v>
      </c>
      <c r="R16" s="16"/>
      <c r="S16" s="16"/>
      <c r="T16" s="16"/>
    </row>
    <row r="17" spans="1:20">
      <c r="A17" s="7"/>
      <c r="B17" s="7"/>
      <c r="C17" s="7"/>
      <c r="D17" s="7"/>
      <c r="E17" s="7"/>
      <c r="F17" s="7"/>
      <c r="G17" s="7"/>
      <c r="H17" s="7"/>
      <c r="I17" s="24"/>
      <c r="R17" s="16"/>
      <c r="S17" s="16"/>
      <c r="T17" s="16"/>
    </row>
    <row r="18" spans="1:20">
      <c r="A18" s="7"/>
      <c r="B18" s="7"/>
      <c r="C18" s="7"/>
      <c r="D18" s="7"/>
      <c r="E18" s="7"/>
      <c r="F18" s="7"/>
      <c r="G18" s="7"/>
      <c r="H18" s="7"/>
      <c r="I18" s="7"/>
      <c r="R18" s="16"/>
      <c r="S18" s="16"/>
      <c r="T18" s="16"/>
    </row>
    <row r="19" spans="1:20" ht="31.5">
      <c r="A19" s="17" t="s">
        <v>90</v>
      </c>
      <c r="B19" s="7"/>
      <c r="C19" s="7"/>
      <c r="D19" s="7"/>
      <c r="E19" s="7"/>
      <c r="F19" s="7"/>
      <c r="G19" s="7"/>
      <c r="H19" s="7"/>
      <c r="I19" s="7"/>
      <c r="R19" s="16"/>
      <c r="S19" s="16"/>
      <c r="T19" s="16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R20" s="16"/>
      <c r="S20" s="16"/>
      <c r="T20" s="16"/>
    </row>
    <row r="21" spans="1:20" s="14" customFormat="1">
      <c r="A21" s="26" t="s">
        <v>4</v>
      </c>
      <c r="B21" s="26" t="s">
        <v>5</v>
      </c>
      <c r="C21" s="26" t="s">
        <v>6</v>
      </c>
      <c r="D21" s="26" t="s">
        <v>7</v>
      </c>
      <c r="E21" s="26" t="s">
        <v>8</v>
      </c>
      <c r="F21" s="27" t="s">
        <v>9</v>
      </c>
      <c r="G21" s="27" t="s">
        <v>10</v>
      </c>
      <c r="H21" s="27" t="s">
        <v>11</v>
      </c>
      <c r="I21" s="26" t="s">
        <v>12</v>
      </c>
      <c r="J21" s="26"/>
    </row>
    <row r="22" spans="1:20" s="14" customFormat="1">
      <c r="A22" s="29" t="str">
        <f>Fuels!A17</f>
        <v>electricity, coal</v>
      </c>
      <c r="B22" s="29" t="str">
        <f>Fuels!B17</f>
        <v>electricity</v>
      </c>
      <c r="C22" s="29" t="str">
        <f>Fuels!C17</f>
        <v>at electric plant</v>
      </c>
      <c r="D22" s="29" t="str">
        <f>Fuels!D17</f>
        <v>NL</v>
      </c>
      <c r="E22" s="29" t="str">
        <f>Fuels!E17</f>
        <v>1 MJ</v>
      </c>
      <c r="F22" s="30">
        <f>Fuels!F17</f>
        <v>0.29499999999999998</v>
      </c>
      <c r="G22" s="30">
        <f>Fuels!G17</f>
        <v>3.8500000000000001E-3</v>
      </c>
      <c r="H22" s="30">
        <f>Fuels!H17</f>
        <v>4.46E-4</v>
      </c>
      <c r="I22" s="29" t="str">
        <f>Fuels!I17</f>
        <v>IDEMAT 2017</v>
      </c>
      <c r="J22" s="30"/>
      <c r="L22" s="28" t="s">
        <v>92</v>
      </c>
    </row>
    <row r="23" spans="1:20" s="14" customFormat="1">
      <c r="A23" s="29" t="str">
        <f>Fuels!A18</f>
        <v>electricity, gas</v>
      </c>
      <c r="B23" s="29" t="str">
        <f>Fuels!B18</f>
        <v>electricity</v>
      </c>
      <c r="C23" s="29" t="str">
        <f>Fuels!C18</f>
        <v>at electric plant</v>
      </c>
      <c r="D23" s="29" t="str">
        <f>Fuels!D18</f>
        <v>NL</v>
      </c>
      <c r="E23" s="29" t="str">
        <f>Fuels!E18</f>
        <v>1 MJ</v>
      </c>
      <c r="F23" s="30">
        <f>Fuels!F18</f>
        <v>0.18099999999999999</v>
      </c>
      <c r="G23" s="30">
        <f>Fuels!G18</f>
        <v>8.9300000000000002E-5</v>
      </c>
      <c r="H23" s="30">
        <f>Fuels!H18</f>
        <v>2.4800000000000001E-4</v>
      </c>
      <c r="I23" s="29" t="str">
        <f>Fuels!I18</f>
        <v>IDEMAT 2017</v>
      </c>
      <c r="J23" s="30"/>
      <c r="L23" s="14">
        <v>0.27779999999999999</v>
      </c>
    </row>
    <row r="24" spans="1:20" s="14" customFormat="1">
      <c r="A24" s="29" t="str">
        <f>Fuels!A19</f>
        <v>electricity, oil</v>
      </c>
      <c r="B24" s="29" t="str">
        <f>Fuels!B19</f>
        <v>electricity</v>
      </c>
      <c r="C24" s="29" t="str">
        <f>Fuels!C19</f>
        <v>at electric plant</v>
      </c>
      <c r="D24" s="29" t="str">
        <f>Fuels!D19</f>
        <v>NL</v>
      </c>
      <c r="E24" s="29" t="str">
        <f>Fuels!E19</f>
        <v>1 MJ</v>
      </c>
      <c r="F24" s="30">
        <f>Fuels!F19</f>
        <v>0.222</v>
      </c>
      <c r="G24" s="30">
        <f>Fuels!G19</f>
        <v>4.17E-4</v>
      </c>
      <c r="H24" s="30">
        <f>Fuels!H19</f>
        <v>6.38E-4</v>
      </c>
      <c r="I24" s="29" t="str">
        <f>Fuels!I19</f>
        <v>IDEMAT 2017</v>
      </c>
      <c r="J24" s="30"/>
    </row>
    <row r="25" spans="1:20" s="14" customFormat="1">
      <c r="A25" s="29" t="str">
        <f>Fuels!A20</f>
        <v>electricity, hydro</v>
      </c>
      <c r="B25" s="29" t="str">
        <f>Fuels!B20</f>
        <v>electricity</v>
      </c>
      <c r="C25" s="29" t="str">
        <f>Fuels!C20</f>
        <v>at electric plant</v>
      </c>
      <c r="D25" s="29" t="str">
        <f>Fuels!D20</f>
        <v>NL</v>
      </c>
      <c r="E25" s="29" t="str">
        <f>Fuels!E20</f>
        <v>1 MJ</v>
      </c>
      <c r="F25" s="30">
        <f>Fuels!F20</f>
        <v>1.65E-3</v>
      </c>
      <c r="G25" s="30">
        <f>Fuels!G20</f>
        <v>1.7E-5</v>
      </c>
      <c r="H25" s="30">
        <f>Fuels!H20</f>
        <v>0.23200000000000001</v>
      </c>
      <c r="I25" s="29" t="str">
        <f>Fuels!I20</f>
        <v>IDEMAT 2017</v>
      </c>
      <c r="J25" s="30"/>
    </row>
    <row r="26" spans="1:20" s="14" customFormat="1">
      <c r="A26" s="29" t="str">
        <f>Fuels!A21</f>
        <v>electricity, offshore windmill</v>
      </c>
      <c r="B26" s="29" t="str">
        <f>Fuels!B21</f>
        <v>electricity</v>
      </c>
      <c r="C26" s="29" t="str">
        <f>Fuels!C21</f>
        <v>at electric plant</v>
      </c>
      <c r="D26" s="29" t="str">
        <f>Fuels!D21</f>
        <v>NL</v>
      </c>
      <c r="E26" s="29" t="str">
        <f>Fuels!E21</f>
        <v>1 MJ</v>
      </c>
      <c r="F26" s="30">
        <f>Fuels!F21</f>
        <v>3.5599999999999998E-3</v>
      </c>
      <c r="G26" s="30">
        <f>Fuels!G21</f>
        <v>1E-4</v>
      </c>
      <c r="H26" s="30">
        <f>Fuels!H21</f>
        <v>4.7299999999999998E-5</v>
      </c>
      <c r="I26" s="29" t="str">
        <f>Fuels!I21</f>
        <v>IDEMAT 2017</v>
      </c>
      <c r="J26" s="30"/>
    </row>
    <row r="27" spans="1:20" s="14" customFormat="1">
      <c r="A27" s="29" t="str">
        <f>Fuels!A22</f>
        <v>electricity, nuclear</v>
      </c>
      <c r="B27" s="29" t="str">
        <f>Fuels!B22</f>
        <v>electricity</v>
      </c>
      <c r="C27" s="29" t="str">
        <f>Fuels!C22</f>
        <v>at electric plant</v>
      </c>
      <c r="D27" s="29" t="str">
        <f>Fuels!D22</f>
        <v>RER</v>
      </c>
      <c r="E27" s="29" t="str">
        <f>Fuels!E22</f>
        <v>1 MJ</v>
      </c>
      <c r="F27" s="30">
        <f>Fuels!F22</f>
        <v>2.2000000000000001E-3</v>
      </c>
      <c r="G27" s="30">
        <f>Fuels!G22</f>
        <v>1.05E-4</v>
      </c>
      <c r="H27" s="30">
        <f>Fuels!H22</f>
        <v>1.34E-2</v>
      </c>
      <c r="I27" s="29" t="str">
        <f>Fuels!I22</f>
        <v>IDEMAT 2017</v>
      </c>
      <c r="J27" s="30"/>
    </row>
    <row r="28" spans="1:20" s="14" customFormat="1">
      <c r="A28" s="29" t="str">
        <f>Fuels!A23</f>
        <v>electricity, PV panel</v>
      </c>
      <c r="B28" s="29" t="str">
        <f>Fuels!B23</f>
        <v>electricity</v>
      </c>
      <c r="C28" s="29" t="str">
        <f>Fuels!C23</f>
        <v>at electric plant</v>
      </c>
      <c r="D28" s="29" t="str">
        <f>Fuels!D23</f>
        <v>CH</v>
      </c>
      <c r="E28" s="29" t="str">
        <f>Fuels!E23</f>
        <v>1 MJ</v>
      </c>
      <c r="F28" s="30">
        <f>Fuels!F23</f>
        <v>2.1999999999999999E-2</v>
      </c>
      <c r="G28" s="30">
        <f>Fuels!G23</f>
        <v>9.7400000000000004E-4</v>
      </c>
      <c r="H28" s="30">
        <f>Fuels!H23</f>
        <v>4.2099999999999999E-4</v>
      </c>
      <c r="I28" s="29" t="str">
        <f>Fuels!I23</f>
        <v>IDEMAT 2017</v>
      </c>
      <c r="J28" s="30"/>
    </row>
    <row r="30" spans="1:20" s="1" customFormat="1">
      <c r="A30" s="1" t="s">
        <v>91</v>
      </c>
    </row>
    <row r="32" spans="1:20">
      <c r="A32" s="31" t="str">
        <f>A21</f>
        <v>Label</v>
      </c>
      <c r="B32" s="31" t="str">
        <f t="shared" ref="B32:H32" si="2">B21</f>
        <v>Category</v>
      </c>
      <c r="C32" s="31" t="str">
        <f t="shared" si="2"/>
        <v>Location</v>
      </c>
      <c r="D32" s="31" t="str">
        <f t="shared" si="2"/>
        <v>Country/region</v>
      </c>
      <c r="E32" s="31" t="str">
        <f t="shared" si="2"/>
        <v>FU</v>
      </c>
      <c r="F32" s="31" t="str">
        <f t="shared" si="2"/>
        <v>CC (Recipe) kg CO2 eq</v>
      </c>
      <c r="G32" s="31" t="str">
        <f t="shared" si="2"/>
        <v>LU (Recipe) m2 agricultural</v>
      </c>
      <c r="H32" s="31" t="str">
        <f t="shared" si="2"/>
        <v>WRD (Recipe) m3</v>
      </c>
      <c r="I32" s="25"/>
    </row>
    <row r="33" spans="1:14">
      <c r="A33" s="25" t="str">
        <f t="shared" ref="A33:D39" si="3">A22</f>
        <v>electricity, coal</v>
      </c>
      <c r="B33" s="25" t="str">
        <f t="shared" si="3"/>
        <v>electricity</v>
      </c>
      <c r="C33" s="25" t="str">
        <f t="shared" si="3"/>
        <v>at electric plant</v>
      </c>
      <c r="D33" s="25" t="str">
        <f t="shared" si="3"/>
        <v>NL</v>
      </c>
      <c r="E33" t="s">
        <v>93</v>
      </c>
      <c r="F33" s="32">
        <f>F22/$L$23</f>
        <v>1.0619150467962564</v>
      </c>
      <c r="G33" s="32">
        <f t="shared" ref="G33" si="4">G22/$L$23</f>
        <v>1.3858891288696905E-2</v>
      </c>
      <c r="H33" s="32">
        <f>H22/$L$23</f>
        <v>1.605471562275018E-3</v>
      </c>
      <c r="I33" s="25"/>
    </row>
    <row r="34" spans="1:14">
      <c r="A34" s="25" t="str">
        <f t="shared" si="3"/>
        <v>electricity, gas</v>
      </c>
      <c r="B34" s="25" t="str">
        <f t="shared" si="3"/>
        <v>electricity</v>
      </c>
      <c r="C34" s="25" t="str">
        <f t="shared" si="3"/>
        <v>at electric plant</v>
      </c>
      <c r="D34" s="25" t="str">
        <f t="shared" si="3"/>
        <v>NL</v>
      </c>
      <c r="E34" t="s">
        <v>93</v>
      </c>
      <c r="F34" s="32">
        <f t="shared" ref="F34:H39" si="5">F23/$L$23</f>
        <v>0.65154787616990639</v>
      </c>
      <c r="G34" s="32">
        <f t="shared" si="5"/>
        <v>3.2145428365730743E-4</v>
      </c>
      <c r="H34" s="32">
        <f t="shared" si="5"/>
        <v>8.9272858171346296E-4</v>
      </c>
      <c r="I34" s="25"/>
    </row>
    <row r="35" spans="1:14">
      <c r="A35" s="25" t="str">
        <f t="shared" si="3"/>
        <v>electricity, oil</v>
      </c>
      <c r="B35" s="25" t="str">
        <f t="shared" si="3"/>
        <v>electricity</v>
      </c>
      <c r="C35" s="25" t="str">
        <f t="shared" si="3"/>
        <v>at electric plant</v>
      </c>
      <c r="D35" s="25" t="str">
        <f t="shared" si="3"/>
        <v>NL</v>
      </c>
      <c r="E35" t="s">
        <v>93</v>
      </c>
      <c r="F35" s="32">
        <f t="shared" si="5"/>
        <v>0.79913606911447088</v>
      </c>
      <c r="G35" s="32">
        <f t="shared" si="5"/>
        <v>1.5010799136069115E-3</v>
      </c>
      <c r="H35" s="32">
        <f t="shared" si="5"/>
        <v>2.2966162706983444E-3</v>
      </c>
      <c r="I35" s="25"/>
    </row>
    <row r="36" spans="1:14">
      <c r="A36" s="25" t="str">
        <f t="shared" si="3"/>
        <v>electricity, hydro</v>
      </c>
      <c r="B36" s="25" t="str">
        <f t="shared" si="3"/>
        <v>electricity</v>
      </c>
      <c r="C36" s="25" t="str">
        <f t="shared" si="3"/>
        <v>at electric plant</v>
      </c>
      <c r="D36" s="25" t="str">
        <f t="shared" si="3"/>
        <v>NL</v>
      </c>
      <c r="E36" t="s">
        <v>93</v>
      </c>
      <c r="F36" s="32">
        <f t="shared" si="5"/>
        <v>5.9395248380129592E-3</v>
      </c>
      <c r="G36" s="32">
        <f t="shared" si="5"/>
        <v>6.1195104391648672E-5</v>
      </c>
      <c r="H36" s="32">
        <f t="shared" si="5"/>
        <v>0.83513318934485248</v>
      </c>
      <c r="I36" s="25"/>
    </row>
    <row r="37" spans="1:14">
      <c r="A37" s="25" t="str">
        <f t="shared" si="3"/>
        <v>electricity, offshore windmill</v>
      </c>
      <c r="B37" s="25" t="str">
        <f t="shared" si="3"/>
        <v>electricity</v>
      </c>
      <c r="C37" s="25" t="str">
        <f t="shared" si="3"/>
        <v>at electric plant</v>
      </c>
      <c r="D37" s="25" t="str">
        <f t="shared" si="3"/>
        <v>NL</v>
      </c>
      <c r="E37" t="s">
        <v>93</v>
      </c>
      <c r="F37" s="32">
        <f t="shared" si="5"/>
        <v>1.2814974802015839E-2</v>
      </c>
      <c r="G37" s="32">
        <f t="shared" si="5"/>
        <v>3.5997120230381573E-4</v>
      </c>
      <c r="H37" s="32">
        <f t="shared" si="5"/>
        <v>1.7026637868970481E-4</v>
      </c>
      <c r="I37" s="25"/>
    </row>
    <row r="38" spans="1:14">
      <c r="A38" s="25" t="str">
        <f t="shared" si="3"/>
        <v>electricity, nuclear</v>
      </c>
      <c r="B38" s="25" t="str">
        <f t="shared" si="3"/>
        <v>electricity</v>
      </c>
      <c r="C38" s="25" t="str">
        <f t="shared" si="3"/>
        <v>at electric plant</v>
      </c>
      <c r="D38" s="25" t="str">
        <f t="shared" si="3"/>
        <v>RER</v>
      </c>
      <c r="E38" t="s">
        <v>93</v>
      </c>
      <c r="F38" s="32">
        <f t="shared" si="5"/>
        <v>7.9193664506839456E-3</v>
      </c>
      <c r="G38" s="32">
        <f t="shared" si="5"/>
        <v>3.7796976241900648E-4</v>
      </c>
      <c r="H38" s="32">
        <f t="shared" si="5"/>
        <v>4.8236141108711307E-2</v>
      </c>
      <c r="I38" s="25"/>
    </row>
    <row r="39" spans="1:14">
      <c r="A39" s="25" t="str">
        <f t="shared" si="3"/>
        <v>electricity, PV panel</v>
      </c>
      <c r="B39" s="25" t="str">
        <f t="shared" si="3"/>
        <v>electricity</v>
      </c>
      <c r="C39" s="25" t="str">
        <f t="shared" si="3"/>
        <v>at electric plant</v>
      </c>
      <c r="D39" s="25" t="str">
        <f t="shared" si="3"/>
        <v>CH</v>
      </c>
      <c r="E39" t="s">
        <v>93</v>
      </c>
      <c r="F39" s="32">
        <f t="shared" si="5"/>
        <v>7.9193664506839456E-2</v>
      </c>
      <c r="G39" s="32">
        <f t="shared" si="5"/>
        <v>3.5061195104391651E-3</v>
      </c>
      <c r="H39" s="32">
        <f t="shared" si="5"/>
        <v>1.5154787616990641E-3</v>
      </c>
      <c r="I39" s="25"/>
    </row>
    <row r="40" spans="1:14">
      <c r="A40" s="25"/>
    </row>
    <row r="42" spans="1:14">
      <c r="A42" s="1" t="s">
        <v>97</v>
      </c>
    </row>
    <row r="43" spans="1: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  <c r="N43" s="14"/>
    </row>
    <row r="44" spans="1:14">
      <c r="A44" s="14"/>
      <c r="B44" s="28" t="str">
        <f>A15</f>
        <v>Hydro</v>
      </c>
      <c r="C44" s="28" t="str">
        <f>B15</f>
        <v>Windmill</v>
      </c>
      <c r="D44" s="28" t="s">
        <v>78</v>
      </c>
      <c r="E44" s="28" t="s">
        <v>79</v>
      </c>
      <c r="F44" s="28" t="s">
        <v>80</v>
      </c>
      <c r="G44" s="28" t="s">
        <v>81</v>
      </c>
      <c r="H44" s="28" t="s">
        <v>82</v>
      </c>
      <c r="I44" s="28" t="s">
        <v>99</v>
      </c>
      <c r="J44" s="14"/>
      <c r="K44" s="14"/>
      <c r="M44" s="14"/>
      <c r="N44" s="14"/>
    </row>
    <row r="45" spans="1:14">
      <c r="A45" s="15" t="s">
        <v>9</v>
      </c>
      <c r="B45" s="33">
        <f>A16*F36</f>
        <v>366524409.05183709</v>
      </c>
      <c r="C45" s="33">
        <f>B16*F37</f>
        <v>198368272.90645134</v>
      </c>
      <c r="D45" s="33">
        <f>C16*F38</f>
        <v>479450561.55507731</v>
      </c>
      <c r="E45" s="33">
        <f>(D16*F34)</f>
        <v>3600966700.0180111</v>
      </c>
      <c r="F45" s="33">
        <f>(E16*F34)</f>
        <v>5872075137.0309763</v>
      </c>
      <c r="G45" s="33">
        <f>(F16*F34)</f>
        <v>10738942.404607669</v>
      </c>
      <c r="H45" s="33">
        <f>B45+C45+D45+E45+F45+G45</f>
        <v>10528124022.966961</v>
      </c>
      <c r="I45" s="14"/>
      <c r="J45" s="14"/>
      <c r="K45" s="14"/>
      <c r="L45" s="14"/>
      <c r="M45" s="14"/>
      <c r="N45" s="14"/>
    </row>
    <row r="46" spans="1:14">
      <c r="A46" s="15" t="s">
        <v>10</v>
      </c>
      <c r="B46" s="33">
        <f>A16*G36</f>
        <v>3776312.0932613518</v>
      </c>
      <c r="C46" s="33">
        <f>B16*G37</f>
        <v>5572142.4973722296</v>
      </c>
      <c r="D46" s="33">
        <f>C16*G38</f>
        <v>22882867.710583232</v>
      </c>
      <c r="E46" s="33">
        <f>(D16*G34)</f>
        <v>1776609.5376331955</v>
      </c>
      <c r="F46" s="33">
        <f>(E16*G34)</f>
        <v>2897106.6836290951</v>
      </c>
      <c r="G46" s="33">
        <f>(F16*G34)</f>
        <v>5298.2737940964907</v>
      </c>
      <c r="H46" s="33">
        <f t="shared" ref="H46" si="6">B46+C46+D46+E46+F46+G46</f>
        <v>36910336.796273202</v>
      </c>
      <c r="I46" s="14"/>
      <c r="J46" s="14"/>
      <c r="K46" s="14"/>
      <c r="L46" s="14"/>
      <c r="M46" s="14"/>
      <c r="N46" s="14"/>
    </row>
    <row r="47" spans="1:14">
      <c r="A47" s="15" t="s">
        <v>11</v>
      </c>
      <c r="B47" s="33">
        <f>A16*H36</f>
        <v>51535553272.743156</v>
      </c>
      <c r="C47" s="33">
        <f>B16*H26</f>
        <v>732176.18086921249</v>
      </c>
      <c r="D47" s="33">
        <f>C16*H38</f>
        <v>2920289784.0172892</v>
      </c>
      <c r="E47" s="33">
        <f>(D16*H34)</f>
        <v>4933921.2243340705</v>
      </c>
      <c r="F47" s="33">
        <f>(E16*H34)</f>
        <v>8045716.2098545982</v>
      </c>
      <c r="G47" s="33">
        <f>(F16*H34)</f>
        <v>14714.13102951769</v>
      </c>
      <c r="H47" s="33">
        <f>B47+C47+D47+E47+F47+G47</f>
        <v>54469569584.506531</v>
      </c>
      <c r="I47" s="14"/>
      <c r="J47" s="14"/>
      <c r="K47" s="14"/>
      <c r="L47" s="14"/>
      <c r="M47" s="14"/>
      <c r="N47" s="14"/>
    </row>
    <row r="50" spans="1:18">
      <c r="A50" s="1" t="s">
        <v>98</v>
      </c>
      <c r="F50" s="118" t="s">
        <v>132</v>
      </c>
      <c r="G50" s="117"/>
    </row>
    <row r="51" spans="1:18">
      <c r="A51" s="14"/>
      <c r="F51" s="113" t="s">
        <v>9</v>
      </c>
      <c r="G51" s="116">
        <f>B52*E76</f>
        <v>5.1097250949643305E-2</v>
      </c>
    </row>
    <row r="52" spans="1:18">
      <c r="A52" s="40" t="s">
        <v>9</v>
      </c>
      <c r="B52">
        <f>H45/(G16-I16)</f>
        <v>7.4905856429913945E-2</v>
      </c>
      <c r="F52" s="113" t="s">
        <v>10</v>
      </c>
      <c r="G52" s="116">
        <f>B53*E76</f>
        <v>1.7914081728147432E-4</v>
      </c>
    </row>
    <row r="53" spans="1:18">
      <c r="A53" s="40" t="s">
        <v>10</v>
      </c>
      <c r="B53">
        <f>H46/(G16-I16)</f>
        <v>2.6261092506224613E-4</v>
      </c>
      <c r="F53" s="113" t="s">
        <v>11</v>
      </c>
      <c r="G53" s="116">
        <f>B54*E76</f>
        <v>0.26436288745335595</v>
      </c>
    </row>
    <row r="54" spans="1:18">
      <c r="A54" s="40" t="s">
        <v>11</v>
      </c>
      <c r="B54">
        <f>H47/(G16-I16)</f>
        <v>0.3875419543116696</v>
      </c>
    </row>
    <row r="57" spans="1:18">
      <c r="A57" s="34" t="s">
        <v>101</v>
      </c>
    </row>
    <row r="58" spans="1:18" ht="31.5">
      <c r="A58" s="35" t="s">
        <v>102</v>
      </c>
    </row>
    <row r="60" spans="1:18">
      <c r="A60" t="s">
        <v>103</v>
      </c>
    </row>
    <row r="62" spans="1:18" ht="14.45" customHeight="1">
      <c r="A62" s="36"/>
      <c r="B62" s="36"/>
      <c r="C62" s="155" t="s">
        <v>104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</row>
    <row r="63" spans="1:18" ht="14.45" customHeight="1">
      <c r="A63" s="36"/>
      <c r="B63" s="36"/>
      <c r="C63" s="49" t="s">
        <v>105</v>
      </c>
      <c r="D63" s="49" t="s">
        <v>106</v>
      </c>
      <c r="E63" s="49" t="s">
        <v>107</v>
      </c>
      <c r="F63" s="49" t="s">
        <v>108</v>
      </c>
      <c r="G63" s="49" t="s">
        <v>34</v>
      </c>
      <c r="H63" s="49"/>
      <c r="J63" s="49"/>
      <c r="K63" s="49"/>
      <c r="L63" s="156"/>
      <c r="M63" s="156"/>
      <c r="N63" s="156"/>
      <c r="O63" s="156"/>
      <c r="P63" s="156"/>
      <c r="Q63" s="156"/>
      <c r="R63" s="156"/>
    </row>
    <row r="64" spans="1:18">
      <c r="A64" s="37">
        <v>2016</v>
      </c>
      <c r="B64" s="37" t="s">
        <v>109</v>
      </c>
      <c r="C64" s="37">
        <v>339</v>
      </c>
      <c r="D64" s="37">
        <v>199</v>
      </c>
      <c r="E64" s="37">
        <v>176</v>
      </c>
      <c r="F64" s="37">
        <v>142</v>
      </c>
      <c r="G64" s="37">
        <v>124</v>
      </c>
      <c r="J64" s="37"/>
      <c r="L64" s="37"/>
      <c r="M64" s="37"/>
      <c r="O64" s="37"/>
      <c r="P64" s="37"/>
    </row>
    <row r="65" spans="1:16" ht="11.45" customHeight="1">
      <c r="A65" s="37"/>
      <c r="B65" s="37" t="s">
        <v>110</v>
      </c>
      <c r="C65" s="37">
        <v>351</v>
      </c>
      <c r="D65" s="37">
        <v>211</v>
      </c>
      <c r="E65" s="37">
        <v>189</v>
      </c>
      <c r="F65" s="37">
        <v>156</v>
      </c>
      <c r="G65" s="37">
        <v>135</v>
      </c>
      <c r="J65" s="37"/>
      <c r="L65" s="37"/>
      <c r="M65" s="37"/>
      <c r="O65" s="37"/>
      <c r="P65" s="37"/>
    </row>
    <row r="66" spans="1:16">
      <c r="B66" t="s">
        <v>131</v>
      </c>
      <c r="C66">
        <f>AVERAGE(C64:C65)</f>
        <v>345</v>
      </c>
      <c r="D66" s="41">
        <f t="shared" ref="D66:G66" si="7">AVERAGE(D64:D65)</f>
        <v>205</v>
      </c>
      <c r="E66" s="41">
        <f t="shared" si="7"/>
        <v>182.5</v>
      </c>
      <c r="F66" s="41">
        <f t="shared" si="7"/>
        <v>149</v>
      </c>
      <c r="G66" s="41">
        <f t="shared" si="7"/>
        <v>129.5</v>
      </c>
    </row>
    <row r="69" spans="1:16" ht="23.25">
      <c r="A69" s="38" t="s">
        <v>111</v>
      </c>
      <c r="E69" s="42" t="s">
        <v>130</v>
      </c>
    </row>
    <row r="70" spans="1:16">
      <c r="E70" s="42" t="s">
        <v>121</v>
      </c>
      <c r="F70" s="42" t="s">
        <v>105</v>
      </c>
      <c r="G70" s="42" t="s">
        <v>106</v>
      </c>
      <c r="H70" s="42" t="s">
        <v>107</v>
      </c>
      <c r="I70" s="42" t="s">
        <v>108</v>
      </c>
      <c r="J70" s="42" t="s">
        <v>34</v>
      </c>
      <c r="K70" s="43" t="s">
        <v>82</v>
      </c>
    </row>
    <row r="71" spans="1:16">
      <c r="A71" s="39" t="s">
        <v>112</v>
      </c>
      <c r="B71" s="39" t="s">
        <v>114</v>
      </c>
      <c r="E71" s="44" t="s">
        <v>122</v>
      </c>
      <c r="F71" s="41" t="s">
        <v>123</v>
      </c>
      <c r="G71" s="41" t="s">
        <v>124</v>
      </c>
      <c r="H71" s="41" t="s">
        <v>125</v>
      </c>
      <c r="I71" s="41" t="s">
        <v>126</v>
      </c>
      <c r="J71" s="41" t="s">
        <v>127</v>
      </c>
      <c r="K71" s="45"/>
    </row>
    <row r="72" spans="1:16">
      <c r="A72" s="39" t="s">
        <v>113</v>
      </c>
      <c r="B72" s="39" t="s">
        <v>115</v>
      </c>
      <c r="E72" s="41" t="s">
        <v>128</v>
      </c>
      <c r="F72" s="46">
        <v>445260</v>
      </c>
      <c r="G72" s="46">
        <v>1318014</v>
      </c>
      <c r="H72" s="46">
        <v>836525</v>
      </c>
      <c r="I72" s="46">
        <v>1263771</v>
      </c>
      <c r="J72" s="46">
        <v>832091</v>
      </c>
      <c r="K72" s="47">
        <v>4695661</v>
      </c>
    </row>
    <row r="73" spans="1:16">
      <c r="A73" s="39" t="s">
        <v>105</v>
      </c>
      <c r="B73" s="39" t="s">
        <v>116</v>
      </c>
      <c r="E73" s="41" t="s">
        <v>129</v>
      </c>
      <c r="F73" s="48">
        <v>259677936</v>
      </c>
      <c r="G73" s="48">
        <v>2222756596</v>
      </c>
      <c r="H73" s="48">
        <v>2934597472</v>
      </c>
      <c r="I73" s="48">
        <v>12346949112</v>
      </c>
      <c r="J73" s="48">
        <v>18509148492</v>
      </c>
      <c r="K73" s="47">
        <v>36273129608</v>
      </c>
    </row>
    <row r="74" spans="1:16">
      <c r="A74" s="39" t="s">
        <v>106</v>
      </c>
      <c r="B74" s="39" t="s">
        <v>117</v>
      </c>
    </row>
    <row r="75" spans="1:16">
      <c r="A75" s="39" t="s">
        <v>107</v>
      </c>
      <c r="B75" s="39" t="s">
        <v>118</v>
      </c>
      <c r="E75" s="42" t="s">
        <v>201</v>
      </c>
    </row>
    <row r="76" spans="1:16">
      <c r="A76" s="39" t="s">
        <v>108</v>
      </c>
      <c r="B76" s="39" t="s">
        <v>119</v>
      </c>
      <c r="E76" s="16">
        <f>(1/((C66*F73+D66*G73+E66*H73+F66*I73+G66*J73)/K73))*100</f>
        <v>0.68215295018291011</v>
      </c>
    </row>
    <row r="77" spans="1:16">
      <c r="A77" s="154" t="s">
        <v>34</v>
      </c>
      <c r="B77" s="154" t="s">
        <v>120</v>
      </c>
    </row>
    <row r="78" spans="1:16">
      <c r="A78" s="154"/>
      <c r="B78" s="154"/>
    </row>
  </sheetData>
  <sheetProtection algorithmName="SHA-512" hashValue="Q1IVMyGSC0RZWGcth0DNr9uV/c9IjFNiYlj7owMTOa2vX1h+MB7NTerrDGDysc7LODSJed9srfmx0Cxz1Nokow==" saltValue="Zx7mNKRYs3uSgGOe4oh5xw==" spinCount="100000" sheet="1" objects="1" scenarios="1"/>
  <mergeCells count="5">
    <mergeCell ref="A77:A78"/>
    <mergeCell ref="B77:B78"/>
    <mergeCell ref="C62:R62"/>
    <mergeCell ref="L63:N63"/>
    <mergeCell ref="O63:R63"/>
  </mergeCells>
  <hyperlinks>
    <hyperlink ref="A1" location="Innehåll!A1" display="Innehåll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6"/>
  <sheetViews>
    <sheetView topLeftCell="A50" workbookViewId="0"/>
  </sheetViews>
  <sheetFormatPr defaultRowHeight="15"/>
  <cols>
    <col min="1" max="1" width="27" customWidth="1"/>
    <col min="2" max="2" width="13.7109375" customWidth="1"/>
    <col min="3" max="3" width="15.7109375" bestFit="1" customWidth="1"/>
    <col min="4" max="4" width="23.7109375" customWidth="1"/>
    <col min="5" max="5" width="12.140625" bestFit="1" customWidth="1"/>
    <col min="6" max="6" width="17" bestFit="1" customWidth="1"/>
    <col min="12" max="12" width="18.42578125" customWidth="1"/>
    <col min="13" max="13" width="25.5703125" customWidth="1"/>
    <col min="14" max="14" width="16.5703125" customWidth="1"/>
    <col min="15" max="15" width="19.5703125" customWidth="1"/>
    <col min="16" max="16" width="15.85546875" customWidth="1"/>
    <col min="17" max="17" width="9.85546875" bestFit="1" customWidth="1"/>
  </cols>
  <sheetData>
    <row r="1" spans="1:22" s="42" customFormat="1">
      <c r="A1" s="64" t="s">
        <v>159</v>
      </c>
      <c r="B1" s="72"/>
      <c r="C1" s="72"/>
      <c r="D1" s="72"/>
      <c r="E1" s="72"/>
      <c r="F1" s="72"/>
      <c r="G1" s="72"/>
      <c r="H1" s="72"/>
      <c r="I1" s="73"/>
    </row>
    <row r="2" spans="1:22" s="61" customFormat="1">
      <c r="A2" s="63"/>
      <c r="B2" s="65"/>
      <c r="C2" s="65"/>
      <c r="D2" s="65"/>
      <c r="E2" s="65"/>
      <c r="F2" s="65"/>
      <c r="G2" s="65"/>
      <c r="H2" s="65"/>
      <c r="I2" s="59"/>
    </row>
    <row r="3" spans="1:22" ht="18.75">
      <c r="A3" s="63" t="s">
        <v>134</v>
      </c>
      <c r="B3" s="65" t="s">
        <v>135</v>
      </c>
      <c r="C3" s="65" t="s">
        <v>136</v>
      </c>
      <c r="D3" s="65" t="s">
        <v>137</v>
      </c>
      <c r="E3" s="65" t="s">
        <v>138</v>
      </c>
      <c r="F3" s="65">
        <v>5.0000000000000001E-3</v>
      </c>
      <c r="G3" s="65">
        <v>1.7999999999999999E-2</v>
      </c>
      <c r="H3" s="65" t="s">
        <v>139</v>
      </c>
      <c r="I3" s="59"/>
      <c r="L3" s="88" t="s">
        <v>204</v>
      </c>
      <c r="M3" s="60"/>
      <c r="N3" s="60"/>
      <c r="O3" s="60"/>
      <c r="P3" s="60"/>
      <c r="Q3" s="60"/>
      <c r="R3" s="60"/>
      <c r="S3" s="60"/>
      <c r="T3" s="60"/>
      <c r="U3" s="60"/>
      <c r="V3" s="62"/>
    </row>
    <row r="4" spans="1:22">
      <c r="A4" s="63" t="s">
        <v>134</v>
      </c>
      <c r="B4" s="65" t="s">
        <v>135</v>
      </c>
      <c r="C4" s="65" t="s">
        <v>140</v>
      </c>
      <c r="D4" s="65" t="s">
        <v>137</v>
      </c>
      <c r="E4" s="65" t="s">
        <v>138</v>
      </c>
      <c r="F4" s="65">
        <v>1E-3</v>
      </c>
      <c r="G4" s="65">
        <v>3.5999999999999999E-3</v>
      </c>
      <c r="H4" s="65" t="s">
        <v>139</v>
      </c>
      <c r="I4" s="59"/>
      <c r="L4" s="63"/>
      <c r="M4" s="65"/>
      <c r="N4" s="65"/>
      <c r="O4" s="65"/>
      <c r="P4" s="65"/>
      <c r="Q4" s="65"/>
      <c r="R4" s="65"/>
      <c r="S4" s="65"/>
      <c r="T4" s="65"/>
      <c r="U4" s="65"/>
      <c r="V4" s="59"/>
    </row>
    <row r="5" spans="1:22">
      <c r="A5" s="63" t="s">
        <v>134</v>
      </c>
      <c r="B5" s="65" t="s">
        <v>135</v>
      </c>
      <c r="C5" s="65" t="s">
        <v>141</v>
      </c>
      <c r="D5" s="65" t="s">
        <v>137</v>
      </c>
      <c r="E5" s="65" t="s">
        <v>138</v>
      </c>
      <c r="F5" s="65">
        <v>1E-3</v>
      </c>
      <c r="G5" s="65">
        <v>3.5999999999999999E-3</v>
      </c>
      <c r="H5" s="65" t="s">
        <v>139</v>
      </c>
      <c r="I5" s="59"/>
      <c r="L5" s="67" t="s">
        <v>171</v>
      </c>
      <c r="M5" s="65"/>
      <c r="N5" s="65"/>
      <c r="O5" s="65"/>
      <c r="P5" s="65"/>
      <c r="Q5" s="65"/>
      <c r="R5" s="65"/>
      <c r="S5" s="65"/>
      <c r="T5" s="65"/>
      <c r="U5" s="65"/>
      <c r="V5" s="59"/>
    </row>
    <row r="6" spans="1:22">
      <c r="A6" s="63" t="s">
        <v>134</v>
      </c>
      <c r="B6" s="65" t="s">
        <v>135</v>
      </c>
      <c r="C6" s="65" t="s">
        <v>142</v>
      </c>
      <c r="D6" s="65" t="s">
        <v>137</v>
      </c>
      <c r="E6" s="65" t="s">
        <v>138</v>
      </c>
      <c r="F6" s="65">
        <v>1E-3</v>
      </c>
      <c r="G6" s="65">
        <v>3.5999999999999999E-3</v>
      </c>
      <c r="H6" s="65" t="s">
        <v>139</v>
      </c>
      <c r="I6" s="59"/>
      <c r="L6" s="63" t="str">
        <f>Fuels!A1</f>
        <v>Label</v>
      </c>
      <c r="M6" s="65" t="str">
        <f>Fuels!B1</f>
        <v>Category</v>
      </c>
      <c r="N6" s="65" t="str">
        <f>Fuels!C1</f>
        <v>Location</v>
      </c>
      <c r="O6" s="65" t="str">
        <f>Fuels!D1</f>
        <v>Country/region</v>
      </c>
      <c r="P6" s="65" t="str">
        <f>Fuels!E1</f>
        <v>FU</v>
      </c>
      <c r="Q6" s="65" t="str">
        <f>Fuels!F1</f>
        <v>CC (Recipe) kg CO2 eq</v>
      </c>
      <c r="R6" s="65" t="str">
        <f>Fuels!G1</f>
        <v>LU (Recipe) m2 agricultural</v>
      </c>
      <c r="S6" s="65" t="str">
        <f>Fuels!H1</f>
        <v>WRD (Recipe) m3</v>
      </c>
      <c r="T6" s="65"/>
      <c r="U6" s="65"/>
      <c r="V6" s="68" t="s">
        <v>173</v>
      </c>
    </row>
    <row r="7" spans="1:22">
      <c r="A7" s="63" t="s">
        <v>134</v>
      </c>
      <c r="B7" s="65" t="s">
        <v>135</v>
      </c>
      <c r="C7" s="65" t="s">
        <v>143</v>
      </c>
      <c r="D7" s="65" t="s">
        <v>137</v>
      </c>
      <c r="E7" s="65" t="s">
        <v>138</v>
      </c>
      <c r="F7" s="65">
        <v>2E-3</v>
      </c>
      <c r="G7" s="65">
        <v>7.1999999999999998E-3</v>
      </c>
      <c r="H7" s="65" t="s">
        <v>139</v>
      </c>
      <c r="I7" s="59"/>
      <c r="L7" s="63" t="str">
        <f>Fuels!A27</f>
        <v>wood chips and saw dust</v>
      </c>
      <c r="M7" s="65" t="str">
        <f>Fuels!B27</f>
        <v>heating</v>
      </c>
      <c r="N7" s="65" t="str">
        <f>Fuels!C27</f>
        <v>at stove</v>
      </c>
      <c r="O7" s="65" t="str">
        <f>Fuels!D27</f>
        <v>RER</v>
      </c>
      <c r="P7" s="65" t="str">
        <f>Fuels!E27</f>
        <v>1 kg</v>
      </c>
      <c r="Q7" s="65">
        <f>Fuels!F27</f>
        <v>-1.32</v>
      </c>
      <c r="R7" s="65">
        <f>Fuels!G27</f>
        <v>-4.7800000000000004E-3</v>
      </c>
      <c r="S7" s="65">
        <f>Fuels!H27</f>
        <v>-8.2700000000000004E-4</v>
      </c>
      <c r="T7" s="65"/>
      <c r="U7" s="65"/>
      <c r="V7" s="59">
        <v>4.9000000000000004</v>
      </c>
    </row>
    <row r="8" spans="1:22">
      <c r="A8" s="63" t="s">
        <v>134</v>
      </c>
      <c r="B8" s="65" t="s">
        <v>135</v>
      </c>
      <c r="C8" s="65" t="s">
        <v>144</v>
      </c>
      <c r="D8" s="65" t="s">
        <v>137</v>
      </c>
      <c r="E8" s="65" t="s">
        <v>138</v>
      </c>
      <c r="F8" s="65">
        <v>1E-3</v>
      </c>
      <c r="G8" s="65">
        <v>3.5999999999999999E-3</v>
      </c>
      <c r="H8" s="65" t="s">
        <v>139</v>
      </c>
      <c r="I8" s="59"/>
      <c r="L8" s="63" t="str">
        <f>L7</f>
        <v>wood chips and saw dust</v>
      </c>
      <c r="M8" s="65" t="str">
        <f t="shared" ref="M8:O8" si="0">M7</f>
        <v>heating</v>
      </c>
      <c r="N8" s="65" t="str">
        <f t="shared" si="0"/>
        <v>at stove</v>
      </c>
      <c r="O8" s="65" t="str">
        <f t="shared" si="0"/>
        <v>RER</v>
      </c>
      <c r="P8" s="65" t="s">
        <v>115</v>
      </c>
      <c r="Q8" s="65">
        <f>Q7/V7</f>
        <v>-0.26938775510204083</v>
      </c>
      <c r="R8" s="65">
        <f>R7/V7</f>
        <v>-9.7551020408163263E-4</v>
      </c>
      <c r="S8" s="65">
        <f>S7/V7</f>
        <v>-1.6877551020408164E-4</v>
      </c>
      <c r="T8" s="65"/>
      <c r="U8" s="65"/>
      <c r="V8" s="59"/>
    </row>
    <row r="9" spans="1:22">
      <c r="A9" s="63" t="s">
        <v>134</v>
      </c>
      <c r="B9" s="65" t="s">
        <v>135</v>
      </c>
      <c r="C9" s="65" t="s">
        <v>145</v>
      </c>
      <c r="D9" s="65" t="s">
        <v>137</v>
      </c>
      <c r="E9" s="65" t="s">
        <v>138</v>
      </c>
      <c r="F9" s="65">
        <v>1E-3</v>
      </c>
      <c r="G9" s="65">
        <v>3.5999999999999999E-3</v>
      </c>
      <c r="H9" s="65" t="s">
        <v>139</v>
      </c>
      <c r="I9" s="59"/>
      <c r="L9" s="63"/>
      <c r="M9" s="65"/>
      <c r="N9" s="65"/>
      <c r="O9" s="65"/>
      <c r="P9" s="65"/>
      <c r="Q9" s="65"/>
      <c r="R9" s="65"/>
      <c r="S9" s="65"/>
      <c r="T9" s="65"/>
      <c r="U9" s="65"/>
      <c r="V9" s="59"/>
    </row>
    <row r="10" spans="1:22">
      <c r="A10" s="63" t="s">
        <v>134</v>
      </c>
      <c r="B10" s="65" t="s">
        <v>135</v>
      </c>
      <c r="C10" s="65" t="s">
        <v>146</v>
      </c>
      <c r="D10" s="65" t="s">
        <v>137</v>
      </c>
      <c r="E10" s="65" t="s">
        <v>138</v>
      </c>
      <c r="F10" s="65">
        <v>1E-3</v>
      </c>
      <c r="G10" s="65">
        <v>3.5999999999999999E-3</v>
      </c>
      <c r="H10" s="65" t="s">
        <v>139</v>
      </c>
      <c r="I10" s="59"/>
      <c r="L10" s="67" t="s">
        <v>172</v>
      </c>
      <c r="M10" s="65"/>
      <c r="N10" s="65"/>
      <c r="O10" s="65"/>
      <c r="P10" s="65"/>
      <c r="Q10" s="65"/>
      <c r="R10" s="65"/>
      <c r="S10" s="65"/>
      <c r="T10" s="65"/>
      <c r="U10" s="65"/>
      <c r="V10" s="59"/>
    </row>
    <row r="11" spans="1:22">
      <c r="A11" s="63" t="s">
        <v>134</v>
      </c>
      <c r="B11" s="65" t="s">
        <v>135</v>
      </c>
      <c r="C11" s="65" t="s">
        <v>147</v>
      </c>
      <c r="D11" s="65" t="s">
        <v>137</v>
      </c>
      <c r="E11" s="65" t="s">
        <v>138</v>
      </c>
      <c r="F11" s="65">
        <v>1E-3</v>
      </c>
      <c r="G11" s="65">
        <v>3.5999999999999999E-3</v>
      </c>
      <c r="H11" s="65" t="s">
        <v>139</v>
      </c>
      <c r="I11" s="59"/>
      <c r="L11" s="63" t="s">
        <v>200</v>
      </c>
      <c r="M11" s="65"/>
      <c r="N11" s="65"/>
      <c r="O11" s="65"/>
      <c r="P11" s="65"/>
      <c r="Q11" s="65"/>
      <c r="R11" s="65"/>
      <c r="S11" s="65"/>
      <c r="T11" s="65"/>
      <c r="U11" s="65"/>
      <c r="V11" s="59"/>
    </row>
    <row r="12" spans="1:22">
      <c r="A12" s="63" t="s">
        <v>134</v>
      </c>
      <c r="B12" s="65" t="s">
        <v>135</v>
      </c>
      <c r="C12" s="65" t="s">
        <v>148</v>
      </c>
      <c r="D12" s="65" t="s">
        <v>137</v>
      </c>
      <c r="E12" s="65" t="s">
        <v>138</v>
      </c>
      <c r="F12" s="65">
        <v>1E-3</v>
      </c>
      <c r="G12" s="65">
        <v>3.5999999999999999E-3</v>
      </c>
      <c r="H12" s="65" t="s">
        <v>139</v>
      </c>
      <c r="I12" s="59"/>
      <c r="L12" s="63">
        <f>1/0.55</f>
        <v>1.8181818181818181</v>
      </c>
      <c r="M12" s="65"/>
      <c r="N12" s="65"/>
      <c r="O12" s="65"/>
      <c r="P12" s="65"/>
      <c r="Q12" s="65"/>
      <c r="R12" s="65"/>
      <c r="S12" s="65"/>
      <c r="T12" s="65"/>
      <c r="U12" s="65"/>
      <c r="V12" s="59"/>
    </row>
    <row r="13" spans="1:22">
      <c r="A13" s="63" t="s">
        <v>134</v>
      </c>
      <c r="B13" s="65" t="s">
        <v>135</v>
      </c>
      <c r="C13" s="65" t="s">
        <v>149</v>
      </c>
      <c r="D13" s="65" t="s">
        <v>137</v>
      </c>
      <c r="E13" s="65" t="s">
        <v>138</v>
      </c>
      <c r="F13" s="65">
        <v>1E-3</v>
      </c>
      <c r="G13" s="65">
        <v>3.5999999999999999E-3</v>
      </c>
      <c r="H13" s="65" t="s">
        <v>139</v>
      </c>
      <c r="I13" s="59"/>
      <c r="L13" s="63"/>
      <c r="M13" s="65"/>
      <c r="N13" s="65"/>
      <c r="O13" s="65"/>
      <c r="P13" s="65"/>
      <c r="Q13" s="65"/>
      <c r="R13" s="65"/>
      <c r="S13" s="65"/>
      <c r="T13" s="65"/>
      <c r="U13" s="65"/>
      <c r="V13" s="59"/>
    </row>
    <row r="14" spans="1:22">
      <c r="A14" s="63" t="s">
        <v>134</v>
      </c>
      <c r="B14" s="65" t="s">
        <v>135</v>
      </c>
      <c r="C14" s="65" t="s">
        <v>150</v>
      </c>
      <c r="D14" s="65" t="s">
        <v>137</v>
      </c>
      <c r="E14" s="65" t="s">
        <v>138</v>
      </c>
      <c r="F14" s="65">
        <v>1E-3</v>
      </c>
      <c r="G14" s="65">
        <v>3.5999999999999999E-3</v>
      </c>
      <c r="H14" s="65" t="s">
        <v>139</v>
      </c>
      <c r="I14" s="59"/>
      <c r="L14" s="74" t="s">
        <v>178</v>
      </c>
      <c r="M14" s="75"/>
      <c r="N14" s="75"/>
      <c r="O14" s="75"/>
      <c r="P14" s="65"/>
      <c r="Q14" s="65"/>
      <c r="R14" s="65"/>
      <c r="S14" s="65"/>
      <c r="T14" s="65"/>
      <c r="U14" s="65"/>
      <c r="V14" s="59"/>
    </row>
    <row r="15" spans="1:22">
      <c r="A15" s="63" t="s">
        <v>134</v>
      </c>
      <c r="B15" s="65" t="s">
        <v>135</v>
      </c>
      <c r="C15" s="65" t="s">
        <v>151</v>
      </c>
      <c r="D15" s="65" t="s">
        <v>137</v>
      </c>
      <c r="E15" s="65" t="s">
        <v>138</v>
      </c>
      <c r="F15" s="65">
        <v>1E-3</v>
      </c>
      <c r="G15" s="65">
        <v>3.5999999999999999E-3</v>
      </c>
      <c r="H15" s="65" t="s">
        <v>139</v>
      </c>
      <c r="I15" s="59"/>
      <c r="L15" s="76"/>
      <c r="M15" s="75" t="s">
        <v>175</v>
      </c>
      <c r="N15" s="75" t="s">
        <v>176</v>
      </c>
      <c r="O15" s="75" t="s">
        <v>177</v>
      </c>
      <c r="P15" s="65"/>
      <c r="Q15" s="65"/>
      <c r="R15" s="65"/>
      <c r="S15" s="65"/>
      <c r="T15" s="65"/>
      <c r="U15" s="65"/>
      <c r="V15" s="59"/>
    </row>
    <row r="16" spans="1:22">
      <c r="A16" s="63" t="s">
        <v>134</v>
      </c>
      <c r="B16" s="65" t="s">
        <v>135</v>
      </c>
      <c r="C16" s="65" t="s">
        <v>152</v>
      </c>
      <c r="D16" s="65" t="s">
        <v>137</v>
      </c>
      <c r="E16" s="65" t="s">
        <v>138</v>
      </c>
      <c r="F16" s="65">
        <v>2E-3</v>
      </c>
      <c r="G16" s="65">
        <v>7.1999999999999998E-3</v>
      </c>
      <c r="H16" s="65" t="s">
        <v>139</v>
      </c>
      <c r="I16" s="59"/>
      <c r="L16" s="76" t="s">
        <v>174</v>
      </c>
      <c r="M16" s="75">
        <f>Q8*L12</f>
        <v>-0.48979591836734693</v>
      </c>
      <c r="N16" s="75">
        <f>R8*L12</f>
        <v>-1.7736549165120593E-3</v>
      </c>
      <c r="O16" s="75">
        <f>S8*L12</f>
        <v>-3.0686456400742118E-4</v>
      </c>
      <c r="P16" s="65"/>
      <c r="Q16" s="65"/>
      <c r="R16" s="65"/>
      <c r="S16" s="65"/>
      <c r="T16" s="65"/>
      <c r="U16" s="65"/>
      <c r="V16" s="59"/>
    </row>
    <row r="17" spans="1:22">
      <c r="A17" s="63" t="s">
        <v>134</v>
      </c>
      <c r="B17" s="65" t="s">
        <v>135</v>
      </c>
      <c r="C17" s="65" t="s">
        <v>153</v>
      </c>
      <c r="D17" s="65" t="s">
        <v>137</v>
      </c>
      <c r="E17" s="65" t="s">
        <v>138</v>
      </c>
      <c r="F17" s="65">
        <v>1.0999999999999999E-2</v>
      </c>
      <c r="G17" s="65">
        <v>3.9600000000000003E-2</v>
      </c>
      <c r="H17" s="65" t="s">
        <v>139</v>
      </c>
      <c r="I17" s="59"/>
      <c r="L17" s="63"/>
      <c r="M17" s="65"/>
      <c r="N17" s="65"/>
      <c r="O17" s="65"/>
      <c r="P17" s="65"/>
      <c r="Q17" s="65"/>
      <c r="R17" s="65"/>
      <c r="S17" s="65"/>
      <c r="T17" s="65"/>
      <c r="U17" s="65"/>
      <c r="V17" s="59"/>
    </row>
    <row r="18" spans="1:22">
      <c r="A18" s="63" t="s">
        <v>134</v>
      </c>
      <c r="B18" s="65" t="s">
        <v>135</v>
      </c>
      <c r="C18" s="65" t="s">
        <v>154</v>
      </c>
      <c r="D18" s="65" t="s">
        <v>137</v>
      </c>
      <c r="E18" s="65" t="s">
        <v>138</v>
      </c>
      <c r="F18" s="65">
        <v>1.0999999999999999E-2</v>
      </c>
      <c r="G18" s="65">
        <v>3.9600000000000003E-2</v>
      </c>
      <c r="H18" s="65" t="s">
        <v>139</v>
      </c>
      <c r="I18" s="59"/>
      <c r="L18" s="63"/>
      <c r="M18" s="65"/>
      <c r="N18" s="65"/>
      <c r="O18" s="65"/>
      <c r="P18" s="65"/>
      <c r="Q18" s="65"/>
      <c r="R18" s="65"/>
      <c r="S18" s="65"/>
      <c r="T18" s="65"/>
      <c r="U18" s="65"/>
      <c r="V18" s="59"/>
    </row>
    <row r="19" spans="1:22">
      <c r="A19" s="63" t="s">
        <v>134</v>
      </c>
      <c r="B19" s="65" t="s">
        <v>135</v>
      </c>
      <c r="C19" s="65" t="s">
        <v>155</v>
      </c>
      <c r="D19" s="65" t="s">
        <v>137</v>
      </c>
      <c r="E19" s="65" t="s">
        <v>138</v>
      </c>
      <c r="F19" s="65">
        <v>0.03</v>
      </c>
      <c r="G19" s="65">
        <v>0.108</v>
      </c>
      <c r="H19" s="65" t="s">
        <v>139</v>
      </c>
      <c r="I19" s="59"/>
      <c r="L19" s="74" t="s">
        <v>179</v>
      </c>
      <c r="M19" s="75"/>
      <c r="N19" s="65"/>
      <c r="O19" s="65"/>
      <c r="P19" s="65"/>
      <c r="Q19" s="65"/>
      <c r="R19" s="65"/>
      <c r="S19" s="65"/>
      <c r="T19" s="65"/>
      <c r="U19" s="65"/>
      <c r="V19" s="59"/>
    </row>
    <row r="20" spans="1:22">
      <c r="A20" s="63" t="s">
        <v>134</v>
      </c>
      <c r="B20" s="65" t="s">
        <v>135</v>
      </c>
      <c r="C20" s="65" t="s">
        <v>156</v>
      </c>
      <c r="D20" s="65" t="s">
        <v>137</v>
      </c>
      <c r="E20" s="65" t="s">
        <v>138</v>
      </c>
      <c r="F20" s="65">
        <v>1E-3</v>
      </c>
      <c r="G20" s="65">
        <v>3.5999999999999999E-3</v>
      </c>
      <c r="H20" s="65" t="s">
        <v>139</v>
      </c>
      <c r="I20" s="59"/>
      <c r="L20" s="76"/>
      <c r="M20" s="75" t="s">
        <v>175</v>
      </c>
      <c r="N20" s="65"/>
      <c r="O20" s="65"/>
      <c r="P20" s="65"/>
      <c r="Q20" s="65"/>
      <c r="R20" s="65"/>
      <c r="S20" s="65"/>
      <c r="T20" s="65"/>
      <c r="U20" s="65"/>
      <c r="V20" s="59"/>
    </row>
    <row r="21" spans="1:22">
      <c r="A21" s="63" t="s">
        <v>134</v>
      </c>
      <c r="B21" s="65" t="s">
        <v>135</v>
      </c>
      <c r="C21" s="65" t="s">
        <v>157</v>
      </c>
      <c r="D21" s="65" t="s">
        <v>137</v>
      </c>
      <c r="E21" s="65" t="s">
        <v>138</v>
      </c>
      <c r="F21" s="65">
        <v>1E-3</v>
      </c>
      <c r="G21" s="65">
        <v>3.5999999999999999E-3</v>
      </c>
      <c r="H21" s="65" t="s">
        <v>139</v>
      </c>
      <c r="I21" s="59"/>
      <c r="L21" s="76" t="s">
        <v>174</v>
      </c>
      <c r="M21" s="77">
        <f>(G28/1000)*L12</f>
        <v>3.927272727272727E-5</v>
      </c>
      <c r="N21" s="65"/>
      <c r="O21" s="65"/>
      <c r="P21" s="65"/>
      <c r="Q21" s="65"/>
      <c r="R21" s="65"/>
      <c r="S21" s="65"/>
      <c r="T21" s="65"/>
      <c r="U21" s="65"/>
      <c r="V21" s="59"/>
    </row>
    <row r="22" spans="1:22">
      <c r="A22" s="63" t="s">
        <v>134</v>
      </c>
      <c r="B22" s="65" t="s">
        <v>135</v>
      </c>
      <c r="C22" s="65" t="s">
        <v>158</v>
      </c>
      <c r="D22" s="65" t="s">
        <v>137</v>
      </c>
      <c r="E22" s="65" t="s">
        <v>138</v>
      </c>
      <c r="F22" s="65">
        <v>1E-3</v>
      </c>
      <c r="G22" s="65">
        <v>3.5999999999999999E-3</v>
      </c>
      <c r="H22" s="65" t="s">
        <v>139</v>
      </c>
      <c r="I22" s="59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1"/>
    </row>
    <row r="23" spans="1:22">
      <c r="A23" s="63" t="s">
        <v>134</v>
      </c>
      <c r="B23" s="65" t="s">
        <v>135</v>
      </c>
      <c r="C23" s="65" t="s">
        <v>142</v>
      </c>
      <c r="D23" s="65" t="s">
        <v>160</v>
      </c>
      <c r="E23" s="65" t="s">
        <v>161</v>
      </c>
      <c r="F23" s="65">
        <v>2E-3</v>
      </c>
      <c r="G23" s="65">
        <v>7.1999999999999998E-3</v>
      </c>
      <c r="H23" s="65" t="s">
        <v>139</v>
      </c>
      <c r="I23" s="59"/>
    </row>
    <row r="24" spans="1:22">
      <c r="A24" s="63" t="s">
        <v>134</v>
      </c>
      <c r="B24" s="65" t="s">
        <v>135</v>
      </c>
      <c r="C24" s="65" t="s">
        <v>145</v>
      </c>
      <c r="D24" s="65" t="s">
        <v>160</v>
      </c>
      <c r="E24" s="65" t="s">
        <v>161</v>
      </c>
      <c r="F24" s="65">
        <v>1E-3</v>
      </c>
      <c r="G24" s="65">
        <v>3.5999999999999999E-3</v>
      </c>
      <c r="H24" s="65" t="s">
        <v>139</v>
      </c>
      <c r="I24" s="59"/>
    </row>
    <row r="25" spans="1:22">
      <c r="A25" s="63" t="s">
        <v>134</v>
      </c>
      <c r="B25" s="65" t="s">
        <v>135</v>
      </c>
      <c r="C25" s="65" t="s">
        <v>149</v>
      </c>
      <c r="D25" s="65" t="s">
        <v>160</v>
      </c>
      <c r="E25" s="65" t="s">
        <v>161</v>
      </c>
      <c r="F25" s="65">
        <v>1E-3</v>
      </c>
      <c r="G25" s="65">
        <v>3.5999999999999999E-3</v>
      </c>
      <c r="H25" s="65" t="s">
        <v>139</v>
      </c>
      <c r="I25" s="59"/>
    </row>
    <row r="26" spans="1:22">
      <c r="A26" s="63" t="s">
        <v>134</v>
      </c>
      <c r="B26" s="65" t="s">
        <v>135</v>
      </c>
      <c r="C26" s="65" t="s">
        <v>150</v>
      </c>
      <c r="D26" s="65" t="s">
        <v>160</v>
      </c>
      <c r="E26" s="65" t="s">
        <v>161</v>
      </c>
      <c r="F26" s="65">
        <v>1E-3</v>
      </c>
      <c r="G26" s="65">
        <v>3.5999999999999999E-3</v>
      </c>
      <c r="H26" s="65" t="s">
        <v>139</v>
      </c>
      <c r="I26" s="59"/>
    </row>
    <row r="27" spans="1:22">
      <c r="A27" s="63" t="s">
        <v>134</v>
      </c>
      <c r="B27" s="65" t="s">
        <v>135</v>
      </c>
      <c r="C27" s="65" t="s">
        <v>162</v>
      </c>
      <c r="D27" s="65" t="s">
        <v>160</v>
      </c>
      <c r="E27" s="65" t="s">
        <v>161</v>
      </c>
      <c r="F27" s="65">
        <v>0.2</v>
      </c>
      <c r="G27" s="65">
        <v>0.72</v>
      </c>
      <c r="H27" s="65" t="s">
        <v>139</v>
      </c>
      <c r="I27" s="59"/>
    </row>
    <row r="28" spans="1:22">
      <c r="A28" s="63" t="s">
        <v>134</v>
      </c>
      <c r="B28" s="65" t="s">
        <v>135</v>
      </c>
      <c r="C28" s="65" t="s">
        <v>154</v>
      </c>
      <c r="D28" s="65" t="s">
        <v>163</v>
      </c>
      <c r="E28" s="65" t="s">
        <v>161</v>
      </c>
      <c r="F28" s="65">
        <v>6.0000000000000001E-3</v>
      </c>
      <c r="G28" s="65">
        <v>2.1600000000000001E-2</v>
      </c>
      <c r="H28" s="65" t="s">
        <v>139</v>
      </c>
      <c r="I28" s="59"/>
    </row>
    <row r="29" spans="1:22">
      <c r="A29" s="63" t="s">
        <v>134</v>
      </c>
      <c r="B29" s="65" t="s">
        <v>135</v>
      </c>
      <c r="C29" s="65" t="s">
        <v>154</v>
      </c>
      <c r="D29" s="65" t="s">
        <v>164</v>
      </c>
      <c r="E29" s="65" t="s">
        <v>161</v>
      </c>
      <c r="F29" s="65">
        <v>6.0000000000000001E-3</v>
      </c>
      <c r="G29" s="65">
        <v>2.1600000000000001E-2</v>
      </c>
      <c r="H29" s="65" t="s">
        <v>139</v>
      </c>
      <c r="I29" s="59"/>
    </row>
    <row r="30" spans="1:22">
      <c r="A30" s="63" t="s">
        <v>134</v>
      </c>
      <c r="B30" s="65" t="s">
        <v>135</v>
      </c>
      <c r="C30" s="65" t="s">
        <v>154</v>
      </c>
      <c r="D30" s="65" t="s">
        <v>165</v>
      </c>
      <c r="E30" s="65" t="s">
        <v>161</v>
      </c>
      <c r="F30" s="65">
        <v>1.4999999999999999E-2</v>
      </c>
      <c r="G30" s="65">
        <v>5.3999999999999999E-2</v>
      </c>
      <c r="H30" s="65" t="s">
        <v>139</v>
      </c>
      <c r="I30" s="59"/>
    </row>
    <row r="31" spans="1:22">
      <c r="A31" s="63" t="s">
        <v>134</v>
      </c>
      <c r="B31" s="65" t="s">
        <v>135</v>
      </c>
      <c r="C31" s="65" t="s">
        <v>154</v>
      </c>
      <c r="D31" s="65" t="s">
        <v>166</v>
      </c>
      <c r="E31" s="65" t="s">
        <v>161</v>
      </c>
      <c r="F31" s="65">
        <v>8.7999999999999995E-2</v>
      </c>
      <c r="G31" s="65">
        <v>0.31680000000000003</v>
      </c>
      <c r="H31" s="65" t="s">
        <v>139</v>
      </c>
      <c r="I31" s="59"/>
    </row>
    <row r="32" spans="1:22">
      <c r="A32" s="63" t="s">
        <v>134</v>
      </c>
      <c r="B32" s="65" t="s">
        <v>135</v>
      </c>
      <c r="C32" s="65" t="s">
        <v>154</v>
      </c>
      <c r="D32" s="65" t="s">
        <v>167</v>
      </c>
      <c r="E32" s="65" t="s">
        <v>161</v>
      </c>
      <c r="F32" s="65">
        <v>1E-3</v>
      </c>
      <c r="G32" s="65">
        <v>3.5999999999999999E-3</v>
      </c>
      <c r="H32" s="65" t="s">
        <v>139</v>
      </c>
      <c r="I32" s="59"/>
    </row>
    <row r="33" spans="1:16">
      <c r="A33" s="63" t="s">
        <v>134</v>
      </c>
      <c r="B33" s="65" t="s">
        <v>135</v>
      </c>
      <c r="C33" s="65" t="s">
        <v>154</v>
      </c>
      <c r="D33" s="65" t="s">
        <v>168</v>
      </c>
      <c r="E33" s="65" t="s">
        <v>161</v>
      </c>
      <c r="F33" s="65">
        <v>9.9000000000000005E-2</v>
      </c>
      <c r="G33" s="65">
        <v>0.35639999999999999</v>
      </c>
      <c r="H33" s="65" t="s">
        <v>139</v>
      </c>
      <c r="I33" s="59"/>
    </row>
    <row r="34" spans="1:16">
      <c r="A34" s="63" t="s">
        <v>134</v>
      </c>
      <c r="B34" s="65" t="s">
        <v>135</v>
      </c>
      <c r="C34" s="65" t="s">
        <v>154</v>
      </c>
      <c r="D34" s="65" t="s">
        <v>169</v>
      </c>
      <c r="E34" s="65" t="s">
        <v>161</v>
      </c>
      <c r="F34" s="65">
        <v>0.11899999999999999</v>
      </c>
      <c r="G34" s="65">
        <v>0.4284</v>
      </c>
      <c r="H34" s="65" t="s">
        <v>139</v>
      </c>
      <c r="I34" s="59"/>
    </row>
    <row r="35" spans="1:16">
      <c r="A35" s="69" t="s">
        <v>134</v>
      </c>
      <c r="B35" s="70" t="s">
        <v>135</v>
      </c>
      <c r="C35" s="70" t="s">
        <v>154</v>
      </c>
      <c r="D35" s="70" t="s">
        <v>170</v>
      </c>
      <c r="E35" s="70" t="s">
        <v>161</v>
      </c>
      <c r="F35" s="70">
        <v>0.35</v>
      </c>
      <c r="G35" s="70">
        <v>1.26</v>
      </c>
      <c r="H35" s="70" t="s">
        <v>139</v>
      </c>
      <c r="I35" s="71"/>
    </row>
    <row r="37" spans="1:16" ht="18.75">
      <c r="A37" s="87" t="s">
        <v>203</v>
      </c>
    </row>
    <row r="38" spans="1:16" s="66" customFormat="1" ht="18.75">
      <c r="A38" s="87"/>
    </row>
    <row r="39" spans="1:16">
      <c r="A39" s="78" t="s">
        <v>193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ht="57.95" customHeight="1">
      <c r="A40" s="157" t="s">
        <v>180</v>
      </c>
      <c r="B40" s="157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>
      <c r="A41" s="79"/>
      <c r="B41" s="79"/>
      <c r="C41" s="65"/>
      <c r="D41" s="65"/>
      <c r="E41" s="65"/>
      <c r="F41" s="78" t="s">
        <v>195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>
      <c r="A42" s="80" t="s">
        <v>181</v>
      </c>
      <c r="B42" s="79">
        <v>933</v>
      </c>
      <c r="C42" s="65"/>
      <c r="D42" s="65"/>
      <c r="E42" s="65"/>
      <c r="F42" s="65">
        <f>4787*1000*1000</f>
        <v>4787000000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>
      <c r="A43" s="80" t="s">
        <v>182</v>
      </c>
      <c r="B43" s="79">
        <v>945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>
      <c r="A44" s="80" t="s">
        <v>183</v>
      </c>
      <c r="B44" s="79">
        <v>905</v>
      </c>
      <c r="C44" s="65"/>
      <c r="D44" s="65"/>
      <c r="E44" s="65"/>
      <c r="F44" s="78" t="s">
        <v>196</v>
      </c>
      <c r="G44" s="65"/>
      <c r="H44" s="65"/>
      <c r="I44" s="65"/>
      <c r="J44" s="65"/>
      <c r="K44" s="78" t="s">
        <v>199</v>
      </c>
      <c r="L44" s="65"/>
      <c r="M44" s="65"/>
      <c r="N44" s="65"/>
      <c r="O44" s="65"/>
      <c r="P44" s="65"/>
    </row>
    <row r="45" spans="1:16" ht="15.75">
      <c r="A45" s="80" t="s">
        <v>184</v>
      </c>
      <c r="B45" s="79">
        <v>778</v>
      </c>
      <c r="C45" s="65"/>
      <c r="D45" s="65"/>
      <c r="E45" s="65"/>
      <c r="F45" s="81">
        <f>51.4*F51</f>
        <v>51400000000</v>
      </c>
      <c r="G45" s="65"/>
      <c r="H45" s="65"/>
      <c r="I45" s="65"/>
      <c r="J45" s="65"/>
      <c r="K45" s="65">
        <f>1000/B54</f>
        <v>1.323918799646955</v>
      </c>
      <c r="L45" s="65"/>
      <c r="M45" s="65"/>
      <c r="N45" s="65"/>
      <c r="O45" s="65"/>
      <c r="P45" s="65"/>
    </row>
    <row r="46" spans="1:16">
      <c r="A46" s="80" t="s">
        <v>185</v>
      </c>
      <c r="B46" s="79">
        <v>637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>
      <c r="A47" s="80" t="s">
        <v>186</v>
      </c>
      <c r="B47" s="79">
        <v>586</v>
      </c>
      <c r="C47" s="65"/>
      <c r="D47" s="65"/>
      <c r="E47" s="65"/>
      <c r="F47" s="78" t="s">
        <v>197</v>
      </c>
      <c r="G47" s="65"/>
      <c r="H47" s="65"/>
      <c r="I47" s="65"/>
      <c r="J47" s="65"/>
      <c r="K47" s="82" t="s">
        <v>202</v>
      </c>
      <c r="L47" s="75"/>
      <c r="M47" s="75"/>
      <c r="N47" s="65"/>
      <c r="O47" s="65"/>
      <c r="P47" s="65"/>
    </row>
    <row r="48" spans="1:16">
      <c r="A48" s="80" t="s">
        <v>187</v>
      </c>
      <c r="B48" s="79">
        <v>585</v>
      </c>
      <c r="C48" s="65"/>
      <c r="D48" s="65"/>
      <c r="E48" s="65"/>
      <c r="F48" s="65">
        <f>F42/F45</f>
        <v>9.3132295719844355E-2</v>
      </c>
      <c r="G48" s="65"/>
      <c r="H48" s="65"/>
      <c r="I48" s="65"/>
      <c r="J48" s="65"/>
      <c r="K48" s="75">
        <f>F48/K45</f>
        <v>7.0345927367055763E-2</v>
      </c>
      <c r="L48" s="75"/>
      <c r="M48" s="75"/>
      <c r="N48" s="65"/>
      <c r="O48" s="65"/>
      <c r="P48" s="65"/>
    </row>
    <row r="49" spans="1:16">
      <c r="A49" s="80" t="s">
        <v>188</v>
      </c>
      <c r="B49" s="79">
        <v>585</v>
      </c>
      <c r="C49" s="65"/>
      <c r="D49" s="65"/>
      <c r="E49" s="65"/>
      <c r="F49" s="65"/>
      <c r="G49" s="65"/>
      <c r="H49" s="65"/>
      <c r="I49" s="65"/>
      <c r="J49" s="65"/>
      <c r="K49" s="82" t="s">
        <v>218</v>
      </c>
      <c r="L49" s="75"/>
      <c r="M49" s="75"/>
      <c r="N49" s="65"/>
      <c r="O49" s="65"/>
      <c r="P49" s="65"/>
    </row>
    <row r="50" spans="1:16">
      <c r="A50" s="80" t="s">
        <v>189</v>
      </c>
      <c r="B50" s="79">
        <v>611</v>
      </c>
      <c r="C50" s="65"/>
      <c r="D50" s="65"/>
      <c r="E50" s="65"/>
      <c r="F50" s="78" t="s">
        <v>198</v>
      </c>
      <c r="G50" s="65"/>
      <c r="H50" s="65"/>
      <c r="I50" s="65"/>
      <c r="J50" s="65"/>
      <c r="K50" s="82" t="s">
        <v>9</v>
      </c>
      <c r="L50" s="82" t="s">
        <v>10</v>
      </c>
      <c r="M50" s="82" t="s">
        <v>11</v>
      </c>
      <c r="N50" s="65"/>
      <c r="O50" s="65"/>
      <c r="P50" s="65"/>
    </row>
    <row r="51" spans="1:16" ht="18">
      <c r="A51" s="80" t="s">
        <v>190</v>
      </c>
      <c r="B51" s="79">
        <v>774</v>
      </c>
      <c r="C51" s="65"/>
      <c r="D51" s="65"/>
      <c r="E51" s="65"/>
      <c r="F51" s="84">
        <v>1000000000</v>
      </c>
      <c r="G51" s="65"/>
      <c r="H51" s="65"/>
      <c r="I51" s="65"/>
      <c r="J51" s="65"/>
      <c r="K51" s="75">
        <f>K45*A75</f>
        <v>4.0145812198173194E-3</v>
      </c>
      <c r="L51" s="75">
        <f>K45*B75</f>
        <v>5.3112161479570759E-5</v>
      </c>
      <c r="M51" s="75">
        <f>K45*C75</f>
        <v>6.3418746805809842E-5</v>
      </c>
      <c r="N51" s="65"/>
      <c r="O51" s="65"/>
      <c r="P51" s="65"/>
    </row>
    <row r="52" spans="1:16">
      <c r="A52" s="80" t="s">
        <v>191</v>
      </c>
      <c r="B52" s="79">
        <v>781</v>
      </c>
      <c r="C52" s="65"/>
      <c r="D52" s="65"/>
      <c r="E52" s="65"/>
      <c r="F52" s="65"/>
      <c r="G52" s="65"/>
      <c r="H52" s="65"/>
      <c r="I52" s="65"/>
      <c r="J52" s="65"/>
      <c r="K52" s="82" t="s">
        <v>219</v>
      </c>
      <c r="L52" s="75"/>
      <c r="M52" s="75"/>
      <c r="N52" s="65"/>
      <c r="O52" s="65"/>
      <c r="P52" s="65"/>
    </row>
    <row r="53" spans="1:16">
      <c r="A53" s="80" t="s">
        <v>192</v>
      </c>
      <c r="B53" s="79">
        <v>944</v>
      </c>
      <c r="C53" s="65"/>
      <c r="D53" s="65"/>
      <c r="E53" s="65"/>
      <c r="F53" s="65"/>
      <c r="G53" s="65"/>
      <c r="H53" s="65"/>
      <c r="I53" s="65"/>
      <c r="J53" s="65"/>
      <c r="K53" s="82" t="s">
        <v>9</v>
      </c>
      <c r="L53" s="82" t="s">
        <v>10</v>
      </c>
      <c r="M53" s="82" t="s">
        <v>11</v>
      </c>
      <c r="N53" s="65"/>
      <c r="O53" s="65"/>
      <c r="P53" s="65"/>
    </row>
    <row r="54" spans="1:16">
      <c r="A54" s="80" t="s">
        <v>194</v>
      </c>
      <c r="B54" s="85">
        <f>AVERAGE(B42:B53)</f>
        <v>755.33333333333337</v>
      </c>
      <c r="C54" s="65"/>
      <c r="D54" s="65"/>
      <c r="E54" s="65"/>
      <c r="F54" s="65"/>
      <c r="G54" s="65"/>
      <c r="H54" s="65"/>
      <c r="I54" s="65"/>
      <c r="J54" s="65"/>
      <c r="K54" s="75">
        <f>K48+K51</f>
        <v>7.4360508586873084E-2</v>
      </c>
      <c r="L54" s="75">
        <f>L51</f>
        <v>5.3112161479570759E-5</v>
      </c>
      <c r="M54" s="75">
        <f>M51</f>
        <v>6.3418746805809842E-5</v>
      </c>
      <c r="N54" s="65"/>
      <c r="O54" s="65"/>
      <c r="P54" s="65"/>
    </row>
    <row r="55" spans="1:16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ht="75">
      <c r="A56" s="86" t="s">
        <v>205</v>
      </c>
      <c r="B56" s="65" t="s">
        <v>215</v>
      </c>
      <c r="C56" s="65" t="s">
        <v>209</v>
      </c>
      <c r="D56" s="65"/>
      <c r="E56" s="83" t="s">
        <v>216</v>
      </c>
      <c r="F56" s="65"/>
      <c r="G56" s="83" t="s">
        <v>211</v>
      </c>
      <c r="H56" s="65"/>
      <c r="I56" s="65"/>
      <c r="J56" s="65"/>
      <c r="K56" s="65"/>
      <c r="L56" s="65"/>
      <c r="M56" s="65"/>
      <c r="N56" s="65"/>
      <c r="O56" s="65"/>
      <c r="P56" s="65"/>
    </row>
    <row r="57" spans="1:16">
      <c r="A57" s="89" t="s">
        <v>149</v>
      </c>
      <c r="B57" s="90">
        <v>1726.8467700000003</v>
      </c>
      <c r="C57" s="90">
        <f>B57*$E$57</f>
        <v>1726846770.0000002</v>
      </c>
      <c r="D57" s="65"/>
      <c r="E57" s="90">
        <v>1000000</v>
      </c>
      <c r="F57" s="65"/>
      <c r="G57" s="65">
        <v>11.63</v>
      </c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7.25">
      <c r="A58" s="89" t="s">
        <v>206</v>
      </c>
      <c r="B58" s="90">
        <v>1285.4949872000004</v>
      </c>
      <c r="C58" s="90">
        <f t="shared" ref="C58:C60" si="1">B58*$E$57</f>
        <v>1285494987.2000005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>
      <c r="A59" s="89" t="s">
        <v>207</v>
      </c>
      <c r="B59" s="90">
        <v>702.06129500000009</v>
      </c>
      <c r="C59" s="90">
        <f t="shared" si="1"/>
        <v>702061295.00000012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>
      <c r="A60" s="91" t="s">
        <v>208</v>
      </c>
      <c r="B60" s="90">
        <v>38.562710000000003</v>
      </c>
      <c r="C60" s="90">
        <f t="shared" si="1"/>
        <v>38562710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66" customFormat="1">
      <c r="A61" s="93" t="s">
        <v>210</v>
      </c>
      <c r="B61" s="90">
        <f>SUM(B57:B60)</f>
        <v>3752.9657622000009</v>
      </c>
      <c r="C61" s="90">
        <f>SUM(C57:C60)</f>
        <v>3752965762.2000008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s="66" customFormat="1">
      <c r="A62" s="92"/>
      <c r="B62" s="90"/>
      <c r="C62" s="90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42" customFormat="1">
      <c r="A63" s="78" t="str">
        <f>Fuels!A1</f>
        <v>Label</v>
      </c>
      <c r="B63" s="78" t="str">
        <f>Fuels!B1</f>
        <v>Category</v>
      </c>
      <c r="C63" s="78" t="str">
        <f>Fuels!C1</f>
        <v>Location</v>
      </c>
      <c r="D63" s="78" t="str">
        <f>Fuels!D1</f>
        <v>Country/region</v>
      </c>
      <c r="E63" s="78" t="str">
        <f>Fuels!E1</f>
        <v>FU</v>
      </c>
      <c r="F63" s="78" t="str">
        <f>Fuels!F1</f>
        <v>CC (Recipe) kg CO2 eq</v>
      </c>
      <c r="G63" s="78" t="str">
        <f>Fuels!G1</f>
        <v>LU (Recipe) m2 agricultural</v>
      </c>
      <c r="H63" s="78" t="str">
        <f>Fuels!H1</f>
        <v>WRD (Recipe) m3</v>
      </c>
      <c r="I63" s="78"/>
      <c r="J63" s="78"/>
      <c r="K63" s="78"/>
      <c r="L63" s="78"/>
      <c r="M63" s="78"/>
      <c r="N63" s="78"/>
      <c r="O63" s="78"/>
      <c r="P63" s="78"/>
    </row>
    <row r="64" spans="1:16">
      <c r="A64" s="65" t="str">
        <f>Fuels!A12</f>
        <v>heavy fuel oil</v>
      </c>
      <c r="B64" s="65" t="str">
        <f>Fuels!B12</f>
        <v>fossil</v>
      </c>
      <c r="C64" s="65" t="str">
        <f>Fuels!C12</f>
        <v>at warehouse</v>
      </c>
      <c r="D64" s="65" t="str">
        <f>Fuels!D12</f>
        <v>RER</v>
      </c>
      <c r="E64" s="65" t="str">
        <f>Fuels!E12</f>
        <v>1 kg</v>
      </c>
      <c r="F64" s="65">
        <f>Fuels!F12</f>
        <v>0.48299999999999998</v>
      </c>
      <c r="G64" s="65">
        <f>Fuels!G12</f>
        <v>6.3899999999999998E-3</v>
      </c>
      <c r="H64" s="65">
        <f>Fuels!H12</f>
        <v>7.6299999999999996E-3</v>
      </c>
      <c r="I64" s="65"/>
      <c r="J64" s="65"/>
      <c r="K64" s="65"/>
      <c r="L64" s="65"/>
      <c r="M64" s="65"/>
      <c r="N64" s="65"/>
      <c r="O64" s="65"/>
      <c r="P64" s="65"/>
    </row>
    <row r="65" spans="1:16">
      <c r="A65" s="65" t="str">
        <f>A64</f>
        <v>heavy fuel oil</v>
      </c>
      <c r="B65" s="65" t="s">
        <v>29</v>
      </c>
      <c r="C65" s="65" t="str">
        <f>C64</f>
        <v>at warehouse</v>
      </c>
      <c r="D65" s="65" t="str">
        <f>D64</f>
        <v>RER</v>
      </c>
      <c r="E65" s="65" t="s">
        <v>212</v>
      </c>
      <c r="F65" s="65">
        <f>F64/$G$57</f>
        <v>4.1530524505588987E-2</v>
      </c>
      <c r="G65" s="65">
        <f>G64/$G$57</f>
        <v>5.4944110060189163E-4</v>
      </c>
      <c r="H65" s="65">
        <f>H64/$G$57</f>
        <v>6.5606190885640582E-4</v>
      </c>
      <c r="I65" s="65"/>
      <c r="J65" s="65"/>
      <c r="K65" s="65"/>
      <c r="L65" s="65"/>
      <c r="M65" s="65"/>
      <c r="N65" s="65"/>
      <c r="O65" s="65"/>
      <c r="P65" s="65"/>
    </row>
    <row r="66" spans="1:16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>
      <c r="A67" s="78" t="s">
        <v>213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s="66" customFormat="1">
      <c r="A68" s="78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>
      <c r="A69" s="78" t="s">
        <v>9</v>
      </c>
      <c r="B69" s="78" t="s">
        <v>10</v>
      </c>
      <c r="C69" s="78" t="s">
        <v>11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>
      <c r="A70" s="65">
        <f>F65*$C$61</f>
        <v>155862636.55568358</v>
      </c>
      <c r="B70" s="65">
        <f t="shared" ref="B70:C70" si="2">G65*$C$61</f>
        <v>2062033.6389043855</v>
      </c>
      <c r="C70" s="65">
        <f t="shared" si="2"/>
        <v>2462177.8818216687</v>
      </c>
      <c r="D70" s="65"/>
      <c r="E70" s="65"/>
      <c r="F70" s="65"/>
      <c r="G70" s="65"/>
      <c r="H70" s="65"/>
    </row>
    <row r="71" spans="1:16">
      <c r="A71" s="65"/>
      <c r="B71" s="65"/>
      <c r="C71" s="65"/>
      <c r="D71" s="65"/>
      <c r="E71" s="65"/>
      <c r="F71" s="65"/>
      <c r="G71" s="65"/>
      <c r="H71" s="65"/>
    </row>
    <row r="72" spans="1:16">
      <c r="A72" s="78" t="s">
        <v>214</v>
      </c>
      <c r="B72" s="65"/>
      <c r="C72" s="65"/>
      <c r="D72" s="65"/>
      <c r="E72" s="65"/>
      <c r="F72" s="65"/>
      <c r="G72" s="65"/>
      <c r="H72" s="65"/>
    </row>
    <row r="73" spans="1:16">
      <c r="A73" s="65"/>
      <c r="B73" s="65"/>
      <c r="C73" s="65"/>
      <c r="D73" s="65"/>
      <c r="E73" s="65"/>
      <c r="F73" s="65"/>
      <c r="G73" s="65"/>
      <c r="H73" s="65"/>
    </row>
    <row r="74" spans="1:16">
      <c r="A74" s="78" t="s">
        <v>9</v>
      </c>
      <c r="B74" s="78" t="s">
        <v>10</v>
      </c>
      <c r="C74" s="78" t="s">
        <v>11</v>
      </c>
      <c r="D74" s="65"/>
      <c r="E74" s="65"/>
      <c r="F74" s="65"/>
      <c r="G74" s="65"/>
      <c r="H74" s="65"/>
    </row>
    <row r="75" spans="1:16">
      <c r="A75" s="65">
        <f>A70/$F$45</f>
        <v>3.0323470147020151E-3</v>
      </c>
      <c r="B75" s="65">
        <f t="shared" ref="B75:C75" si="3">B70/$F$45</f>
        <v>4.0117385970902445E-5</v>
      </c>
      <c r="C75" s="65">
        <f t="shared" si="3"/>
        <v>4.7902293420655032E-5</v>
      </c>
      <c r="D75" s="65"/>
      <c r="E75" s="65"/>
      <c r="F75" s="65"/>
      <c r="G75" s="65"/>
      <c r="H75" s="65"/>
    </row>
    <row r="76" spans="1:16">
      <c r="A76" s="65"/>
      <c r="B76" s="65"/>
      <c r="C76" s="65"/>
      <c r="D76" s="65"/>
      <c r="E76" s="65"/>
      <c r="F76" s="65"/>
      <c r="G76" s="65"/>
      <c r="H76" s="65"/>
    </row>
  </sheetData>
  <sheetProtection algorithmName="SHA-512" hashValue="e5KDLyw7O+ew78uQ38p+rEzwEfFk/uzbvYd4FWIFXKT9TCWRXPRGMv2n4nl2ZhlxuRRcoNDiz4WuHefdawDUFQ==" saltValue="sIH5EtqsRP5ziUf+/syQgw==" spinCount="100000" sheet="1" objects="1" scenarios="1"/>
  <mergeCells count="1">
    <mergeCell ref="A40:B4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orkbookViewId="0">
      <selection activeCell="B18" sqref="B18:D18"/>
    </sheetView>
  </sheetViews>
  <sheetFormatPr defaultRowHeight="15"/>
  <cols>
    <col min="1" max="1" width="33.5703125" customWidth="1"/>
    <col min="3" max="4" width="11.85546875" bestFit="1" customWidth="1"/>
  </cols>
  <sheetData>
    <row r="1" spans="1:5" s="66" customFormat="1"/>
    <row r="2" spans="1:5" s="66" customFormat="1">
      <c r="A2" s="42" t="s">
        <v>225</v>
      </c>
    </row>
    <row r="3" spans="1:5" s="66" customFormat="1">
      <c r="A3" s="66">
        <f>1/3</f>
        <v>0.33333333333333331</v>
      </c>
    </row>
    <row r="4" spans="1:5" s="66" customFormat="1"/>
    <row r="5" spans="1:5" s="66" customFormat="1">
      <c r="A5" s="42" t="s">
        <v>220</v>
      </c>
    </row>
    <row r="6" spans="1:5" s="66" customFormat="1">
      <c r="A6" s="66" t="s">
        <v>203</v>
      </c>
      <c r="B6" s="32">
        <f>0.46*A3</f>
        <v>0.15333333333333332</v>
      </c>
    </row>
    <row r="7" spans="1:5" s="66" customFormat="1">
      <c r="A7" s="66" t="s">
        <v>221</v>
      </c>
      <c r="B7" s="32">
        <f>(0.11+0.13)*A3</f>
        <v>7.9999999999999988E-2</v>
      </c>
    </row>
    <row r="8" spans="1:5" s="66" customFormat="1">
      <c r="A8" s="66" t="s">
        <v>222</v>
      </c>
      <c r="B8" s="32">
        <f>0.06*A3</f>
        <v>1.9999999999999997E-2</v>
      </c>
    </row>
    <row r="9" spans="1:5" s="66" customFormat="1">
      <c r="A9" s="66" t="s">
        <v>223</v>
      </c>
      <c r="B9" s="32">
        <f>0.19*A3</f>
        <v>6.3333333333333325E-2</v>
      </c>
    </row>
    <row r="10" spans="1:5" s="66" customFormat="1">
      <c r="A10" s="66" t="s">
        <v>224</v>
      </c>
      <c r="B10" s="32">
        <f>SUM(B6:B9)</f>
        <v>0.31666666666666665</v>
      </c>
    </row>
    <row r="11" spans="1:5" s="66" customFormat="1">
      <c r="B11" s="32"/>
    </row>
    <row r="12" spans="1:5" s="66" customFormat="1">
      <c r="A12" s="96" t="s">
        <v>228</v>
      </c>
      <c r="B12" s="96"/>
      <c r="C12" s="97"/>
      <c r="D12" s="97"/>
    </row>
    <row r="13" spans="1:5" s="66" customFormat="1">
      <c r="A13" s="97"/>
      <c r="B13" s="98" t="str">
        <f>Heating!K53</f>
        <v>CC (Recipe) kg CO2 eq</v>
      </c>
      <c r="C13" s="98" t="s">
        <v>10</v>
      </c>
      <c r="D13" s="98" t="s">
        <v>11</v>
      </c>
    </row>
    <row r="14" spans="1:5" s="66" customFormat="1">
      <c r="A14" s="97" t="str">
        <f>A6</f>
        <v>District heating</v>
      </c>
      <c r="B14" s="99">
        <f>Heating!K54*B6</f>
        <v>1.1401944649987205E-2</v>
      </c>
      <c r="C14" s="99">
        <f>Heating!L54*B6</f>
        <v>8.1438647602008486E-6</v>
      </c>
      <c r="D14" s="99">
        <f>Heating!M54*Rent!B6</f>
        <v>9.7242078435575084E-6</v>
      </c>
      <c r="E14" s="2"/>
    </row>
    <row r="15" spans="1:5" s="66" customFormat="1">
      <c r="A15" s="97" t="str">
        <f t="shared" ref="A15:A18" si="0">A7</f>
        <v>Electricity</v>
      </c>
      <c r="B15" s="100">
        <f>Electricity!G51*Rent!B7</f>
        <v>4.0877800759714636E-3</v>
      </c>
      <c r="C15" s="100">
        <f>Electricity!G52*Rent!B7</f>
        <v>1.4331265382517943E-5</v>
      </c>
      <c r="D15" s="100">
        <f>Electricity!G53*Rent!B7</f>
        <v>2.1149030996268473E-2</v>
      </c>
    </row>
    <row r="16" spans="1:5" s="66" customFormat="1">
      <c r="A16" s="97" t="str">
        <f t="shared" si="0"/>
        <v>Waste</v>
      </c>
      <c r="B16" s="100">
        <f>0.0381*B8</f>
        <v>7.6199999999999987E-4</v>
      </c>
      <c r="C16" s="100">
        <f>0.00212*B8</f>
        <v>4.2399999999999994E-5</v>
      </c>
      <c r="D16" s="100">
        <f>0.00278*B8</f>
        <v>5.5599999999999989E-5</v>
      </c>
    </row>
    <row r="17" spans="1:4" s="66" customFormat="1">
      <c r="A17" s="97" t="str">
        <f t="shared" si="0"/>
        <v>Sewage and water</v>
      </c>
      <c r="B17" s="100">
        <f>0.0381*B9</f>
        <v>2.4129999999999998E-3</v>
      </c>
      <c r="C17" s="100">
        <f>0.00212*B9</f>
        <v>1.3426666666666663E-4</v>
      </c>
      <c r="D17" s="100">
        <f>0.00278*B9</f>
        <v>1.7606666666666665E-4</v>
      </c>
    </row>
    <row r="18" spans="1:4" s="66" customFormat="1">
      <c r="A18" s="96" t="str">
        <f t="shared" si="0"/>
        <v>Sum</v>
      </c>
      <c r="B18" s="101">
        <f>SUM(B14:B17)</f>
        <v>1.8664724725958665E-2</v>
      </c>
      <c r="C18" s="101">
        <f t="shared" ref="C18:D18" si="1">SUM(C14:C17)</f>
        <v>1.9914179680938541E-4</v>
      </c>
      <c r="D18" s="101">
        <f t="shared" si="1"/>
        <v>2.1390421870778695E-2</v>
      </c>
    </row>
    <row r="19" spans="1:4" s="66" customFormat="1"/>
    <row r="20" spans="1:4" s="66" customFormat="1"/>
  </sheetData>
  <sheetProtection algorithmName="SHA-512" hashValue="aIN4tWJDlTHPpIhff0VkVgJE3ZSPv/oCfE2SwIXCO38b9r+azj+o1syxHBnAltH+Yoadx6nLPU4FHo/ZcjFfyQ==" saltValue="zqn6pfTuje0lcwAIcB7ptg==" spinCount="100000" sheet="1" objects="1" scenarios="1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53" workbookViewId="0">
      <selection activeCell="D76" sqref="D76"/>
    </sheetView>
  </sheetViews>
  <sheetFormatPr defaultRowHeight="15"/>
  <cols>
    <col min="1" max="1" width="36.140625" customWidth="1"/>
    <col min="2" max="2" width="26.28515625" customWidth="1"/>
    <col min="3" max="3" width="23.28515625" customWidth="1"/>
    <col min="4" max="4" width="28.42578125" customWidth="1"/>
    <col min="5" max="5" width="13.140625" customWidth="1"/>
    <col min="6" max="6" width="20.7109375" customWidth="1"/>
    <col min="7" max="8" width="15.42578125" customWidth="1"/>
  </cols>
  <sheetData>
    <row r="1" spans="1:10" s="52" customFormat="1">
      <c r="A1" s="50" t="s">
        <v>4</v>
      </c>
      <c r="B1" s="50" t="s">
        <v>5</v>
      </c>
      <c r="C1" s="50" t="s">
        <v>6</v>
      </c>
      <c r="D1" s="50" t="s">
        <v>7</v>
      </c>
      <c r="E1" s="50" t="s">
        <v>8</v>
      </c>
      <c r="F1" s="51" t="s">
        <v>9</v>
      </c>
      <c r="G1" s="51" t="s">
        <v>10</v>
      </c>
      <c r="H1" s="51" t="s">
        <v>11</v>
      </c>
      <c r="I1" s="50" t="s">
        <v>12</v>
      </c>
      <c r="J1" s="50" t="s">
        <v>13</v>
      </c>
    </row>
    <row r="2" spans="1:10" s="52" customFormat="1">
      <c r="A2" s="53" t="s">
        <v>14</v>
      </c>
      <c r="B2" s="53" t="s">
        <v>15</v>
      </c>
      <c r="C2" s="54" t="s">
        <v>16</v>
      </c>
      <c r="D2" s="54" t="s">
        <v>17</v>
      </c>
      <c r="E2" s="54" t="s">
        <v>18</v>
      </c>
      <c r="F2" s="55">
        <v>2.57</v>
      </c>
      <c r="G2" s="55">
        <v>1.52</v>
      </c>
      <c r="H2" s="55">
        <v>3.8100000000000002E-2</v>
      </c>
      <c r="I2" s="54" t="s">
        <v>19</v>
      </c>
      <c r="J2" s="54" t="s">
        <v>20</v>
      </c>
    </row>
    <row r="3" spans="1:10" s="52" customFormat="1">
      <c r="A3" s="53" t="s">
        <v>21</v>
      </c>
      <c r="B3" s="53" t="s">
        <v>15</v>
      </c>
      <c r="C3" s="54" t="s">
        <v>16</v>
      </c>
      <c r="D3" s="54" t="s">
        <v>22</v>
      </c>
      <c r="E3" s="54" t="s">
        <v>18</v>
      </c>
      <c r="F3" s="55">
        <v>2.0699999999999998</v>
      </c>
      <c r="G3" s="55">
        <v>6.16</v>
      </c>
      <c r="H3" s="55">
        <v>7.7600000000000002E-2</v>
      </c>
      <c r="I3" s="54" t="s">
        <v>19</v>
      </c>
      <c r="J3" s="54"/>
    </row>
    <row r="4" spans="1:10" s="52" customFormat="1">
      <c r="A4" s="53" t="s">
        <v>23</v>
      </c>
      <c r="B4" s="53" t="s">
        <v>15</v>
      </c>
      <c r="C4" s="54" t="s">
        <v>16</v>
      </c>
      <c r="D4" s="54" t="s">
        <v>24</v>
      </c>
      <c r="E4" s="54" t="s">
        <v>18</v>
      </c>
      <c r="F4" s="55">
        <v>7.44</v>
      </c>
      <c r="G4" s="55">
        <v>4.8099999999999996</v>
      </c>
      <c r="H4" s="55">
        <v>2.4299999999999999E-2</v>
      </c>
      <c r="I4" s="54" t="s">
        <v>19</v>
      </c>
      <c r="J4" s="54"/>
    </row>
    <row r="5" spans="1:10" s="52" customFormat="1">
      <c r="A5" s="53" t="s">
        <v>25</v>
      </c>
      <c r="B5" s="53" t="s">
        <v>15</v>
      </c>
      <c r="C5" s="54" t="s">
        <v>16</v>
      </c>
      <c r="D5" s="54" t="s">
        <v>26</v>
      </c>
      <c r="E5" s="54" t="s">
        <v>18</v>
      </c>
      <c r="F5" s="55">
        <v>0.53700000000000003</v>
      </c>
      <c r="G5" s="55">
        <v>10.4</v>
      </c>
      <c r="H5" s="55">
        <v>1.54E-2</v>
      </c>
      <c r="I5" s="54" t="s">
        <v>19</v>
      </c>
      <c r="J5" s="54"/>
    </row>
    <row r="6" spans="1:10" s="52" customFormat="1">
      <c r="A6" s="53" t="s">
        <v>27</v>
      </c>
      <c r="B6" s="53" t="s">
        <v>15</v>
      </c>
      <c r="C6" s="54" t="s">
        <v>16</v>
      </c>
      <c r="D6" s="54" t="s">
        <v>26</v>
      </c>
      <c r="E6" s="54" t="s">
        <v>18</v>
      </c>
      <c r="F6" s="55">
        <v>0.57799999999999996</v>
      </c>
      <c r="G6" s="55">
        <v>1.06</v>
      </c>
      <c r="H6" s="55">
        <v>8.4600000000000005E-3</v>
      </c>
      <c r="I6" s="54" t="s">
        <v>19</v>
      </c>
      <c r="J6" s="54"/>
    </row>
    <row r="7" spans="1:10" s="52" customFormat="1">
      <c r="A7" s="53" t="s">
        <v>28</v>
      </c>
      <c r="B7" s="53" t="s">
        <v>29</v>
      </c>
      <c r="C7" s="54" t="s">
        <v>30</v>
      </c>
      <c r="D7" s="54" t="s">
        <v>31</v>
      </c>
      <c r="E7" s="54" t="s">
        <v>18</v>
      </c>
      <c r="F7" s="55">
        <v>0.316</v>
      </c>
      <c r="G7" s="55">
        <v>3.7900000000000003E-2</v>
      </c>
      <c r="H7" s="55">
        <v>0.48</v>
      </c>
      <c r="I7" s="54" t="s">
        <v>19</v>
      </c>
      <c r="J7" s="54" t="s">
        <v>32</v>
      </c>
    </row>
    <row r="8" spans="1:10" s="52" customFormat="1">
      <c r="A8" s="53" t="s">
        <v>33</v>
      </c>
      <c r="B8" s="53" t="s">
        <v>29</v>
      </c>
      <c r="C8" s="54" t="s">
        <v>30</v>
      </c>
      <c r="D8" s="54" t="s">
        <v>34</v>
      </c>
      <c r="E8" s="54" t="s">
        <v>18</v>
      </c>
      <c r="F8" s="55">
        <v>0.439</v>
      </c>
      <c r="G8" s="55">
        <v>2.3199999999999998E-2</v>
      </c>
      <c r="H8" s="55">
        <v>1.6799999999999999E-2</v>
      </c>
      <c r="I8" s="54" t="s">
        <v>19</v>
      </c>
      <c r="J8" s="54"/>
    </row>
    <row r="9" spans="1:10" s="52" customFormat="1">
      <c r="A9" s="53" t="s">
        <v>35</v>
      </c>
      <c r="B9" s="53" t="s">
        <v>29</v>
      </c>
      <c r="C9" s="54" t="s">
        <v>30</v>
      </c>
      <c r="D9" s="54" t="s">
        <v>34</v>
      </c>
      <c r="E9" s="54" t="s">
        <v>18</v>
      </c>
      <c r="F9" s="55">
        <v>0.63600000000000001</v>
      </c>
      <c r="G9" s="55">
        <v>1.6100000000000001E-3</v>
      </c>
      <c r="H9" s="55">
        <v>5.8200000000000005E-4</v>
      </c>
      <c r="I9" s="54" t="s">
        <v>19</v>
      </c>
      <c r="J9" s="54"/>
    </row>
    <row r="10" spans="1:10" s="52" customFormat="1">
      <c r="A10" s="53" t="s">
        <v>36</v>
      </c>
      <c r="B10" s="53" t="s">
        <v>29</v>
      </c>
      <c r="C10" s="54" t="s">
        <v>16</v>
      </c>
      <c r="D10" s="54" t="s">
        <v>37</v>
      </c>
      <c r="E10" s="54" t="s">
        <v>18</v>
      </c>
      <c r="F10" s="55">
        <v>0.246</v>
      </c>
      <c r="G10" s="55">
        <v>2.8500000000000001E-3</v>
      </c>
      <c r="H10" s="55">
        <v>1.7099999999999999E-3</v>
      </c>
      <c r="I10" s="54" t="s">
        <v>19</v>
      </c>
      <c r="J10" s="54"/>
    </row>
    <row r="11" spans="1:10" s="52" customFormat="1">
      <c r="A11" s="53" t="s">
        <v>38</v>
      </c>
      <c r="B11" s="53" t="s">
        <v>29</v>
      </c>
      <c r="C11" s="54" t="s">
        <v>16</v>
      </c>
      <c r="D11" s="54" t="s">
        <v>39</v>
      </c>
      <c r="E11" s="54" t="s">
        <v>18</v>
      </c>
      <c r="F11" s="55">
        <v>0.56000000000000005</v>
      </c>
      <c r="G11" s="55">
        <v>9.7099999999999999E-3</v>
      </c>
      <c r="H11" s="55">
        <v>7.7600000000000004E-3</v>
      </c>
      <c r="I11" s="54" t="s">
        <v>19</v>
      </c>
      <c r="J11" s="54"/>
    </row>
    <row r="12" spans="1:10" s="52" customFormat="1">
      <c r="A12" s="53" t="s">
        <v>40</v>
      </c>
      <c r="B12" s="53" t="s">
        <v>29</v>
      </c>
      <c r="C12" s="54" t="s">
        <v>16</v>
      </c>
      <c r="D12" s="54" t="s">
        <v>39</v>
      </c>
      <c r="E12" s="54" t="s">
        <v>18</v>
      </c>
      <c r="F12" s="55">
        <v>0.48299999999999998</v>
      </c>
      <c r="G12" s="55">
        <v>6.3899999999999998E-3</v>
      </c>
      <c r="H12" s="55">
        <v>7.6299999999999996E-3</v>
      </c>
      <c r="I12" s="54" t="s">
        <v>19</v>
      </c>
      <c r="J12" s="54"/>
    </row>
    <row r="13" spans="1:10" s="52" customFormat="1">
      <c r="A13" s="53" t="s">
        <v>41</v>
      </c>
      <c r="B13" s="53" t="s">
        <v>29</v>
      </c>
      <c r="C13" s="54" t="s">
        <v>16</v>
      </c>
      <c r="D13" s="54" t="s">
        <v>39</v>
      </c>
      <c r="E13" s="54" t="s">
        <v>18</v>
      </c>
      <c r="F13" s="55">
        <v>0.51200000000000001</v>
      </c>
      <c r="G13" s="55">
        <v>4.7200000000000002E-3</v>
      </c>
      <c r="H13" s="55">
        <v>7.4900000000000001E-3</v>
      </c>
      <c r="I13" s="54" t="s">
        <v>19</v>
      </c>
      <c r="J13" s="54"/>
    </row>
    <row r="14" spans="1:10" s="52" customFormat="1">
      <c r="A14" s="53" t="s">
        <v>42</v>
      </c>
      <c r="B14" s="53" t="s">
        <v>29</v>
      </c>
      <c r="C14" s="54" t="s">
        <v>16</v>
      </c>
      <c r="D14" s="54" t="s">
        <v>37</v>
      </c>
      <c r="E14" s="54" t="s">
        <v>18</v>
      </c>
      <c r="F14" s="55">
        <v>0.67</v>
      </c>
      <c r="G14" s="55">
        <v>4.6100000000000004E-3</v>
      </c>
      <c r="H14" s="55">
        <v>7.9500000000000005E-3</v>
      </c>
      <c r="I14" s="54" t="s">
        <v>19</v>
      </c>
      <c r="J14" s="54"/>
    </row>
    <row r="15" spans="1:10" s="52" customFormat="1">
      <c r="A15" s="53" t="s">
        <v>43</v>
      </c>
      <c r="B15" s="53" t="s">
        <v>29</v>
      </c>
      <c r="C15" s="54" t="s">
        <v>16</v>
      </c>
      <c r="D15" s="54" t="s">
        <v>39</v>
      </c>
      <c r="E15" s="54" t="s">
        <v>18</v>
      </c>
      <c r="F15" s="55">
        <v>0.76700000000000002</v>
      </c>
      <c r="G15" s="55">
        <v>8.8199999999999997E-3</v>
      </c>
      <c r="H15" s="55">
        <v>8.2799999999999992E-3</v>
      </c>
      <c r="I15" s="54" t="s">
        <v>19</v>
      </c>
      <c r="J15" s="54"/>
    </row>
    <row r="16" spans="1:10" s="52" customFormat="1">
      <c r="A16" s="53" t="s">
        <v>44</v>
      </c>
      <c r="B16" s="53" t="s">
        <v>45</v>
      </c>
      <c r="C16" s="54" t="s">
        <v>46</v>
      </c>
      <c r="D16" s="54" t="s">
        <v>47</v>
      </c>
      <c r="E16" s="54" t="s">
        <v>18</v>
      </c>
      <c r="F16" s="55">
        <v>1410</v>
      </c>
      <c r="G16" s="55">
        <v>17.899999999999999</v>
      </c>
      <c r="H16" s="55">
        <v>4070</v>
      </c>
      <c r="I16" s="54" t="s">
        <v>19</v>
      </c>
      <c r="J16" s="54" t="s">
        <v>48</v>
      </c>
    </row>
    <row r="17" spans="1:10" s="52" customFormat="1">
      <c r="A17" s="53" t="s">
        <v>49</v>
      </c>
      <c r="B17" s="53" t="s">
        <v>50</v>
      </c>
      <c r="C17" s="54" t="s">
        <v>30</v>
      </c>
      <c r="D17" s="54" t="s">
        <v>31</v>
      </c>
      <c r="E17" s="54" t="s">
        <v>51</v>
      </c>
      <c r="F17" s="55">
        <v>0.29499999999999998</v>
      </c>
      <c r="G17" s="55">
        <v>3.8500000000000001E-3</v>
      </c>
      <c r="H17" s="55">
        <v>4.46E-4</v>
      </c>
      <c r="I17" s="54" t="s">
        <v>19</v>
      </c>
      <c r="J17" s="54"/>
    </row>
    <row r="18" spans="1:10" s="52" customFormat="1">
      <c r="A18" s="53" t="s">
        <v>52</v>
      </c>
      <c r="B18" s="53" t="s">
        <v>50</v>
      </c>
      <c r="C18" s="54" t="s">
        <v>30</v>
      </c>
      <c r="D18" s="54" t="s">
        <v>31</v>
      </c>
      <c r="E18" s="54" t="s">
        <v>51</v>
      </c>
      <c r="F18" s="55">
        <v>0.18099999999999999</v>
      </c>
      <c r="G18" s="55">
        <v>8.9300000000000002E-5</v>
      </c>
      <c r="H18" s="55">
        <v>2.4800000000000001E-4</v>
      </c>
      <c r="I18" s="54" t="s">
        <v>19</v>
      </c>
      <c r="J18" s="54"/>
    </row>
    <row r="19" spans="1:10" s="52" customFormat="1">
      <c r="A19" s="53" t="s">
        <v>53</v>
      </c>
      <c r="B19" s="53" t="s">
        <v>50</v>
      </c>
      <c r="C19" s="54" t="s">
        <v>30</v>
      </c>
      <c r="D19" s="54" t="s">
        <v>31</v>
      </c>
      <c r="E19" s="54" t="s">
        <v>51</v>
      </c>
      <c r="F19" s="55">
        <v>0.222</v>
      </c>
      <c r="G19" s="55">
        <v>4.17E-4</v>
      </c>
      <c r="H19" s="55">
        <v>6.38E-4</v>
      </c>
      <c r="I19" s="54" t="s">
        <v>19</v>
      </c>
      <c r="J19" s="54"/>
    </row>
    <row r="20" spans="1:10" s="52" customFormat="1">
      <c r="A20" s="53" t="s">
        <v>54</v>
      </c>
      <c r="B20" s="53" t="s">
        <v>50</v>
      </c>
      <c r="C20" s="54" t="s">
        <v>30</v>
      </c>
      <c r="D20" s="54" t="s">
        <v>31</v>
      </c>
      <c r="E20" s="54" t="s">
        <v>51</v>
      </c>
      <c r="F20" s="55">
        <v>1.65E-3</v>
      </c>
      <c r="G20" s="55">
        <v>1.7E-5</v>
      </c>
      <c r="H20" s="55">
        <v>0.23200000000000001</v>
      </c>
      <c r="I20" s="54" t="s">
        <v>19</v>
      </c>
      <c r="J20" s="54"/>
    </row>
    <row r="21" spans="1:10" s="52" customFormat="1">
      <c r="A21" s="53" t="s">
        <v>55</v>
      </c>
      <c r="B21" s="53" t="s">
        <v>50</v>
      </c>
      <c r="C21" s="54" t="s">
        <v>30</v>
      </c>
      <c r="D21" s="54" t="s">
        <v>31</v>
      </c>
      <c r="E21" s="54" t="s">
        <v>51</v>
      </c>
      <c r="F21" s="55">
        <v>3.5599999999999998E-3</v>
      </c>
      <c r="G21" s="55">
        <v>1E-4</v>
      </c>
      <c r="H21" s="55">
        <v>4.7299999999999998E-5</v>
      </c>
      <c r="I21" s="54" t="s">
        <v>19</v>
      </c>
      <c r="J21" s="54"/>
    </row>
    <row r="22" spans="1:10" s="52" customFormat="1">
      <c r="A22" s="53" t="s">
        <v>56</v>
      </c>
      <c r="B22" s="53" t="s">
        <v>50</v>
      </c>
      <c r="C22" s="54" t="s">
        <v>30</v>
      </c>
      <c r="D22" s="54" t="s">
        <v>39</v>
      </c>
      <c r="E22" s="54" t="s">
        <v>51</v>
      </c>
      <c r="F22" s="55">
        <v>2.2000000000000001E-3</v>
      </c>
      <c r="G22" s="55">
        <v>1.05E-4</v>
      </c>
      <c r="H22" s="55">
        <v>1.34E-2</v>
      </c>
      <c r="I22" s="54" t="s">
        <v>19</v>
      </c>
      <c r="J22" s="54"/>
    </row>
    <row r="23" spans="1:10" s="52" customFormat="1">
      <c r="A23" s="53" t="s">
        <v>57</v>
      </c>
      <c r="B23" s="53" t="s">
        <v>50</v>
      </c>
      <c r="C23" s="54" t="s">
        <v>30</v>
      </c>
      <c r="D23" s="54" t="s">
        <v>22</v>
      </c>
      <c r="E23" s="54" t="s">
        <v>51</v>
      </c>
      <c r="F23" s="55">
        <v>2.1999999999999999E-2</v>
      </c>
      <c r="G23" s="55">
        <v>9.7400000000000004E-4</v>
      </c>
      <c r="H23" s="55">
        <v>4.2099999999999999E-4</v>
      </c>
      <c r="I23" s="54" t="s">
        <v>19</v>
      </c>
      <c r="J23" s="54"/>
    </row>
    <row r="24" spans="1:10" s="52" customFormat="1">
      <c r="A24" s="53" t="s">
        <v>58</v>
      </c>
      <c r="B24" s="53" t="s">
        <v>50</v>
      </c>
      <c r="C24" s="54" t="s">
        <v>30</v>
      </c>
      <c r="D24" s="54" t="s">
        <v>39</v>
      </c>
      <c r="E24" s="54" t="s">
        <v>51</v>
      </c>
      <c r="F24" s="55">
        <v>0.122</v>
      </c>
      <c r="G24" s="55">
        <v>1.38E-2</v>
      </c>
      <c r="H24" s="55">
        <v>2.0799999999999998E-3</v>
      </c>
      <c r="I24" s="54" t="s">
        <v>19</v>
      </c>
      <c r="J24" s="54" t="s">
        <v>59</v>
      </c>
    </row>
    <row r="25" spans="1:10" s="52" customFormat="1">
      <c r="A25" s="53" t="s">
        <v>60</v>
      </c>
      <c r="B25" s="53" t="s">
        <v>61</v>
      </c>
      <c r="C25" s="54" t="s">
        <v>62</v>
      </c>
      <c r="D25" s="54" t="s">
        <v>39</v>
      </c>
      <c r="E25" s="54" t="s">
        <v>51</v>
      </c>
      <c r="F25" s="55">
        <v>7.6200000000000004E-2</v>
      </c>
      <c r="G25" s="55">
        <v>2.7599999999999999E-4</v>
      </c>
      <c r="H25" s="55">
        <v>4.7800000000000003E-5</v>
      </c>
      <c r="I25" s="54" t="s">
        <v>19</v>
      </c>
      <c r="J25" s="54"/>
    </row>
    <row r="26" spans="1:10" s="52" customFormat="1">
      <c r="A26" s="53" t="s">
        <v>63</v>
      </c>
      <c r="B26" s="53" t="s">
        <v>61</v>
      </c>
      <c r="C26" s="54" t="s">
        <v>64</v>
      </c>
      <c r="D26" s="54" t="s">
        <v>39</v>
      </c>
      <c r="E26" s="54" t="s">
        <v>51</v>
      </c>
      <c r="F26" s="55">
        <v>0.14199999999999999</v>
      </c>
      <c r="G26" s="55">
        <v>2.8E-3</v>
      </c>
      <c r="H26" s="55">
        <v>1.8800000000000001E-2</v>
      </c>
      <c r="I26" s="54" t="s">
        <v>19</v>
      </c>
      <c r="J26" s="54"/>
    </row>
    <row r="27" spans="1:10" s="52" customFormat="1">
      <c r="A27" s="53" t="s">
        <v>65</v>
      </c>
      <c r="B27" s="53" t="s">
        <v>61</v>
      </c>
      <c r="C27" s="54" t="s">
        <v>64</v>
      </c>
      <c r="D27" s="54" t="s">
        <v>39</v>
      </c>
      <c r="E27" s="54" t="s">
        <v>18</v>
      </c>
      <c r="F27" s="55">
        <v>-1.32</v>
      </c>
      <c r="G27" s="55">
        <v>-4.7800000000000004E-3</v>
      </c>
      <c r="H27" s="55">
        <v>-8.2700000000000004E-4</v>
      </c>
      <c r="I27" s="54" t="s">
        <v>19</v>
      </c>
      <c r="J27" s="54" t="s">
        <v>66</v>
      </c>
    </row>
    <row r="28" spans="1:10" s="52" customFormat="1">
      <c r="A28" s="53" t="s">
        <v>67</v>
      </c>
      <c r="B28" s="53" t="s">
        <v>61</v>
      </c>
      <c r="C28" s="54" t="s">
        <v>68</v>
      </c>
      <c r="D28" s="54" t="s">
        <v>39</v>
      </c>
      <c r="E28" s="54" t="s">
        <v>51</v>
      </c>
      <c r="F28" s="55">
        <v>7.2400000000000006E-2</v>
      </c>
      <c r="G28" s="55">
        <v>2.0799999999999999E-4</v>
      </c>
      <c r="H28" s="55">
        <v>3.7200000000000003E-5</v>
      </c>
      <c r="I28" s="54" t="s">
        <v>19</v>
      </c>
      <c r="J28" s="54"/>
    </row>
    <row r="29" spans="1:10" s="52" customFormat="1">
      <c r="A29" s="53"/>
      <c r="B29" s="53"/>
      <c r="C29" s="54"/>
      <c r="D29" s="54"/>
      <c r="E29" s="54"/>
      <c r="F29" s="55"/>
      <c r="G29" s="55"/>
      <c r="H29" s="55"/>
      <c r="I29" s="54"/>
      <c r="J29" s="54"/>
    </row>
    <row r="30" spans="1:10" s="52" customFormat="1">
      <c r="A30" s="53"/>
      <c r="B30" s="53"/>
      <c r="C30" s="54"/>
      <c r="D30" s="54"/>
      <c r="E30" s="54"/>
      <c r="F30" s="55"/>
      <c r="G30" s="55"/>
      <c r="H30" s="55"/>
      <c r="I30" s="54"/>
      <c r="J30" s="54"/>
    </row>
    <row r="31" spans="1:10" s="52" customFormat="1">
      <c r="A31" s="53" t="s">
        <v>133</v>
      </c>
      <c r="B31" s="53"/>
      <c r="C31" s="54"/>
      <c r="D31" s="54"/>
      <c r="E31" s="54"/>
      <c r="F31" s="55"/>
      <c r="G31" s="55"/>
      <c r="H31" s="55"/>
      <c r="I31" s="54"/>
      <c r="J31" s="54"/>
    </row>
    <row r="32" spans="1:10" s="52" customFormat="1">
      <c r="A32" s="53"/>
      <c r="B32" s="53" t="str">
        <f>E1</f>
        <v>FU</v>
      </c>
      <c r="D32" s="53" t="str">
        <f>F1</f>
        <v>CC (Recipe) kg CO2 eq</v>
      </c>
      <c r="E32" s="53" t="str">
        <f>G1</f>
        <v>LU (Recipe) m2 agricultural</v>
      </c>
      <c r="F32" s="53" t="str">
        <f>H1</f>
        <v>WRD (Recipe) m3</v>
      </c>
      <c r="G32" s="55"/>
      <c r="H32" s="51" t="s">
        <v>236</v>
      </c>
      <c r="I32" s="54"/>
      <c r="J32" s="54"/>
    </row>
    <row r="33" spans="1:10" s="52" customFormat="1">
      <c r="A33" s="54" t="str">
        <f>A5</f>
        <v>ethanol from wood</v>
      </c>
      <c r="B33" s="53" t="s">
        <v>235</v>
      </c>
      <c r="C33" s="54" t="str">
        <f>C5</f>
        <v>at warehouse</v>
      </c>
      <c r="D33" s="106">
        <f>F5/$H$37</f>
        <v>0.42369300000000004</v>
      </c>
      <c r="E33" s="106">
        <f>G5/$H$37</f>
        <v>8.2056000000000004</v>
      </c>
      <c r="F33" s="106">
        <f>H5/$H$37</f>
        <v>1.2150600000000001E-2</v>
      </c>
      <c r="H33" s="105">
        <v>1.3560000000000001</v>
      </c>
      <c r="I33" s="54"/>
      <c r="J33" s="54"/>
    </row>
    <row r="34" spans="1:10" s="52" customFormat="1">
      <c r="A34" s="54" t="str">
        <f>A6</f>
        <v>petrol (85% ethanol from swedish wood)</v>
      </c>
      <c r="B34" s="53" t="s">
        <v>235</v>
      </c>
      <c r="C34" s="54" t="str">
        <f>C6</f>
        <v>at warehouse</v>
      </c>
      <c r="D34" s="106">
        <f>F6/$H$41</f>
        <v>0.45084000000000002</v>
      </c>
      <c r="E34" s="106">
        <f>G6/$H$41</f>
        <v>0.82680000000000009</v>
      </c>
      <c r="F34" s="106">
        <f>H6/$H$41</f>
        <v>6.598800000000001E-3</v>
      </c>
      <c r="H34" s="103" t="s">
        <v>237</v>
      </c>
      <c r="I34" s="54"/>
      <c r="J34" s="54"/>
    </row>
    <row r="35" spans="1:10" s="52" customFormat="1">
      <c r="A35" s="54" t="str">
        <f>A11</f>
        <v>diesel low-sulphur</v>
      </c>
      <c r="B35" s="53" t="s">
        <v>235</v>
      </c>
      <c r="C35" s="54" t="str">
        <f>C11</f>
        <v>at warehouse</v>
      </c>
      <c r="D35" s="106">
        <f>F11/$H$35</f>
        <v>0.47600000000000003</v>
      </c>
      <c r="E35" s="106">
        <f>G11/$H$35</f>
        <v>8.2535000000000004E-3</v>
      </c>
      <c r="F35" s="106">
        <f>H11/$H$35</f>
        <v>6.5960000000000003E-3</v>
      </c>
      <c r="G35" s="55"/>
      <c r="H35" s="106">
        <f>1/0.85</f>
        <v>1.1764705882352942</v>
      </c>
      <c r="I35" s="54"/>
      <c r="J35" s="54"/>
    </row>
    <row r="36" spans="1:10" s="52" customFormat="1">
      <c r="A36" s="54" t="str">
        <f>A13</f>
        <v>kerosene</v>
      </c>
      <c r="B36" s="53" t="s">
        <v>235</v>
      </c>
      <c r="C36" s="54" t="str">
        <f>C13</f>
        <v>at warehouse</v>
      </c>
      <c r="D36" s="106">
        <f>F13/$H$39</f>
        <v>0.40960000000000002</v>
      </c>
      <c r="E36" s="106">
        <f>G13/$H$39</f>
        <v>3.7760000000000003E-3</v>
      </c>
      <c r="F36" s="106">
        <f>H13/$H$39</f>
        <v>5.9919999999999999E-3</v>
      </c>
      <c r="G36" s="55"/>
      <c r="H36" s="103" t="s">
        <v>238</v>
      </c>
      <c r="I36" s="54"/>
      <c r="J36" s="54"/>
    </row>
    <row r="37" spans="1:10" s="45" customFormat="1">
      <c r="A37" s="29" t="str">
        <f>A15</f>
        <v xml:space="preserve">petrol  </v>
      </c>
      <c r="B37" s="53" t="s">
        <v>235</v>
      </c>
      <c r="C37" s="57" t="str">
        <f>C15</f>
        <v>at warehouse</v>
      </c>
      <c r="D37" s="102">
        <f>F15/$H$33</f>
        <v>0.56563421828908556</v>
      </c>
      <c r="E37" s="102">
        <f>G15/$H$33</f>
        <v>6.5044247787610617E-3</v>
      </c>
      <c r="F37" s="102">
        <f>H15/$H$33</f>
        <v>6.1061946902654859E-3</v>
      </c>
      <c r="G37" s="58"/>
      <c r="H37" s="104">
        <f>1/0.789</f>
        <v>1.2674271229404308</v>
      </c>
      <c r="I37" s="57"/>
      <c r="J37" s="57"/>
    </row>
    <row r="38" spans="1:10" s="45" customFormat="1">
      <c r="A38" s="29" t="str">
        <f>A24</f>
        <v>electricity mix</v>
      </c>
      <c r="B38" s="53" t="s">
        <v>115</v>
      </c>
      <c r="C38" s="57" t="str">
        <f>C24</f>
        <v>at electric plant</v>
      </c>
      <c r="D38" s="102" t="e">
        <f>F24/#REF!</f>
        <v>#REF!</v>
      </c>
      <c r="E38" s="102" t="e">
        <f>G24/#REF!</f>
        <v>#REF!</v>
      </c>
      <c r="F38" s="102" t="e">
        <f>H24/#REF!</f>
        <v>#REF!</v>
      </c>
      <c r="G38" s="58"/>
      <c r="H38" s="109" t="s">
        <v>239</v>
      </c>
      <c r="I38" s="57"/>
      <c r="J38" s="57"/>
    </row>
    <row r="39" spans="1:10" s="45" customFormat="1">
      <c r="A39" s="29" t="str">
        <f>A20</f>
        <v>electricity, hydro</v>
      </c>
      <c r="B39" s="53" t="s">
        <v>115</v>
      </c>
      <c r="C39" s="57" t="str">
        <f>C20</f>
        <v>at electric plant</v>
      </c>
      <c r="D39" s="102" t="e">
        <f>F20/#REF!</f>
        <v>#REF!</v>
      </c>
      <c r="E39" s="102" t="e">
        <f>G20/#REF!</f>
        <v>#REF!</v>
      </c>
      <c r="F39" s="102" t="e">
        <f>H20/#REF!</f>
        <v>#REF!</v>
      </c>
      <c r="G39" s="58"/>
      <c r="H39" s="102">
        <f>1/0.8</f>
        <v>1.25</v>
      </c>
      <c r="I39" s="57"/>
      <c r="J39" s="57"/>
    </row>
    <row r="40" spans="1:10" s="45" customFormat="1">
      <c r="A40" s="29" t="s">
        <v>301</v>
      </c>
      <c r="B40" s="56" t="s">
        <v>235</v>
      </c>
      <c r="C40" s="57" t="s">
        <v>16</v>
      </c>
      <c r="D40" s="102">
        <f>F12/$H$43</f>
        <v>0.43469999999999998</v>
      </c>
      <c r="E40" s="102">
        <f t="shared" ref="E40:F40" si="0">G12/$H$43</f>
        <v>5.751E-3</v>
      </c>
      <c r="F40" s="102">
        <f t="shared" si="0"/>
        <v>6.866999999999999E-3</v>
      </c>
      <c r="G40" s="58"/>
      <c r="H40" s="110" t="s">
        <v>240</v>
      </c>
      <c r="I40" s="57"/>
      <c r="J40" s="57"/>
    </row>
    <row r="41" spans="1:10" s="45" customFormat="1">
      <c r="A41" s="29"/>
      <c r="B41" s="56"/>
      <c r="C41" s="57"/>
      <c r="D41" s="57"/>
      <c r="E41" s="57"/>
      <c r="F41" s="58"/>
      <c r="G41" s="58"/>
      <c r="H41" s="102">
        <f>1/0.78</f>
        <v>1.2820512820512819</v>
      </c>
      <c r="I41" s="57"/>
      <c r="J41" s="57"/>
    </row>
    <row r="42" spans="1:10" s="45" customFormat="1">
      <c r="A42" s="56" t="s">
        <v>241</v>
      </c>
      <c r="B42" s="56" t="str">
        <f>B32</f>
        <v>FU</v>
      </c>
      <c r="C42" s="57"/>
      <c r="D42" s="57" t="s">
        <v>243</v>
      </c>
      <c r="E42" s="57"/>
      <c r="F42" s="58"/>
      <c r="G42" s="58"/>
      <c r="H42" s="110" t="s">
        <v>300</v>
      </c>
      <c r="I42" s="57"/>
      <c r="J42" s="57"/>
    </row>
    <row r="43" spans="1:10" s="45" customFormat="1">
      <c r="A43" s="29" t="str">
        <f>A33</f>
        <v>ethanol from wood</v>
      </c>
      <c r="B43" s="56" t="str">
        <f t="shared" ref="B43:B47" si="1">B33</f>
        <v>litres</v>
      </c>
      <c r="C43" s="57" t="s">
        <v>242</v>
      </c>
      <c r="D43" s="102">
        <v>0</v>
      </c>
      <c r="E43" s="57"/>
      <c r="F43" s="58"/>
      <c r="G43" s="58"/>
      <c r="H43" s="102">
        <f>1/0.9</f>
        <v>1.1111111111111112</v>
      </c>
      <c r="I43" s="57"/>
      <c r="J43" s="57"/>
    </row>
    <row r="44" spans="1:10" s="45" customFormat="1">
      <c r="A44" s="29" t="str">
        <f>A34</f>
        <v>petrol (85% ethanol from swedish wood)</v>
      </c>
      <c r="B44" s="56" t="str">
        <f t="shared" si="1"/>
        <v>litres</v>
      </c>
      <c r="C44" s="57" t="s">
        <v>242</v>
      </c>
      <c r="D44" s="102">
        <v>1.1399999999999999</v>
      </c>
      <c r="E44" s="57"/>
      <c r="F44" s="58"/>
      <c r="G44" s="58"/>
      <c r="H44" s="102"/>
      <c r="I44" s="57"/>
      <c r="J44" s="57"/>
    </row>
    <row r="45" spans="1:10" s="45" customFormat="1">
      <c r="A45" s="29" t="str">
        <f>A35</f>
        <v>diesel low-sulphur</v>
      </c>
      <c r="B45" s="56" t="str">
        <f t="shared" si="1"/>
        <v>litres</v>
      </c>
      <c r="C45" s="57" t="s">
        <v>242</v>
      </c>
      <c r="D45" s="102">
        <v>3.04</v>
      </c>
      <c r="E45" s="57"/>
      <c r="F45" s="58"/>
      <c r="G45" s="58"/>
      <c r="H45" s="102"/>
      <c r="I45" s="57"/>
      <c r="J45" s="57"/>
    </row>
    <row r="46" spans="1:10" s="45" customFormat="1">
      <c r="A46" s="29" t="s">
        <v>244</v>
      </c>
      <c r="B46" s="56" t="str">
        <f t="shared" si="1"/>
        <v>litres</v>
      </c>
      <c r="C46" s="57" t="s">
        <v>242</v>
      </c>
      <c r="D46" s="45">
        <f>(3.1/H39)*1.9</f>
        <v>4.7119999999999997</v>
      </c>
      <c r="E46" s="57" t="s">
        <v>246</v>
      </c>
      <c r="F46" s="58"/>
      <c r="G46" s="58"/>
      <c r="H46" s="102"/>
      <c r="I46" s="57"/>
      <c r="J46" s="57"/>
    </row>
    <row r="47" spans="1:10" s="45" customFormat="1">
      <c r="A47" s="29" t="s">
        <v>245</v>
      </c>
      <c r="B47" s="56" t="str">
        <f t="shared" si="1"/>
        <v>litres</v>
      </c>
      <c r="C47" s="57" t="s">
        <v>242</v>
      </c>
      <c r="D47" s="45">
        <f>(3.1/H39)*1.4</f>
        <v>3.472</v>
      </c>
      <c r="E47" s="57" t="s">
        <v>246</v>
      </c>
      <c r="F47" s="58"/>
      <c r="G47" s="58"/>
      <c r="H47" s="102"/>
      <c r="I47" s="57"/>
      <c r="J47" s="57"/>
    </row>
    <row r="48" spans="1:10" s="45" customFormat="1">
      <c r="A48" s="29" t="str">
        <f>A37</f>
        <v xml:space="preserve">petrol  </v>
      </c>
      <c r="B48" s="56" t="str">
        <f>B37</f>
        <v>litres</v>
      </c>
      <c r="C48" s="57" t="s">
        <v>242</v>
      </c>
      <c r="D48" s="102">
        <v>2.75</v>
      </c>
      <c r="E48" s="57"/>
      <c r="F48" s="58"/>
      <c r="G48" s="58"/>
      <c r="H48" s="102"/>
      <c r="I48" s="57"/>
      <c r="J48" s="57"/>
    </row>
    <row r="49" spans="1:10" s="45" customFormat="1">
      <c r="A49" s="29" t="s">
        <v>302</v>
      </c>
      <c r="B49" s="56" t="s">
        <v>235</v>
      </c>
      <c r="C49" s="57" t="s">
        <v>242</v>
      </c>
      <c r="D49" s="102">
        <f>0.28*10</f>
        <v>2.8000000000000003</v>
      </c>
      <c r="E49" s="57" t="s">
        <v>303</v>
      </c>
      <c r="F49" s="58"/>
      <c r="G49" s="58"/>
      <c r="H49" s="102"/>
      <c r="I49" s="57"/>
      <c r="J49" s="57"/>
    </row>
    <row r="50" spans="1:10" s="45" customFormat="1">
      <c r="A50" s="29"/>
      <c r="B50" s="56"/>
      <c r="C50" s="57"/>
      <c r="D50" s="102"/>
      <c r="E50" s="57"/>
      <c r="F50" s="58"/>
      <c r="G50" s="58"/>
      <c r="H50" s="102"/>
      <c r="I50" s="57"/>
      <c r="J50" s="57"/>
    </row>
    <row r="51" spans="1:10" s="45" customFormat="1">
      <c r="A51" s="43" t="s">
        <v>247</v>
      </c>
      <c r="C51" s="57"/>
      <c r="D51" s="57"/>
      <c r="E51" s="57"/>
      <c r="F51" s="58"/>
      <c r="G51" s="58"/>
      <c r="H51" s="102"/>
      <c r="I51" s="57"/>
      <c r="J51" s="57"/>
    </row>
    <row r="52" spans="1:10" s="45" customFormat="1">
      <c r="A52" s="29"/>
      <c r="B52" s="56" t="s">
        <v>8</v>
      </c>
      <c r="C52" s="57" t="str">
        <f>D42</f>
        <v>kg CO2 equiv</v>
      </c>
      <c r="D52" s="57" t="s">
        <v>10</v>
      </c>
      <c r="E52" s="57" t="s">
        <v>11</v>
      </c>
      <c r="F52" s="58"/>
      <c r="G52" s="58"/>
      <c r="H52" s="102"/>
      <c r="I52" s="57"/>
      <c r="J52" s="57"/>
    </row>
    <row r="53" spans="1:10" s="45" customFormat="1">
      <c r="A53" s="29" t="str">
        <f t="shared" ref="A53:A58" si="2">A43</f>
        <v>ethanol from wood</v>
      </c>
      <c r="B53" s="56" t="s">
        <v>235</v>
      </c>
      <c r="C53" s="102">
        <f>D43+D33</f>
        <v>0.42369300000000004</v>
      </c>
      <c r="D53" s="102">
        <f t="shared" ref="D53:E56" si="3">E33</f>
        <v>8.2056000000000004</v>
      </c>
      <c r="E53" s="102">
        <f t="shared" si="3"/>
        <v>1.2150600000000001E-2</v>
      </c>
      <c r="F53" s="58"/>
      <c r="G53" s="58"/>
      <c r="H53" s="102"/>
      <c r="I53" s="57"/>
      <c r="J53" s="57"/>
    </row>
    <row r="54" spans="1:10" s="45" customFormat="1">
      <c r="A54" s="29" t="str">
        <f t="shared" si="2"/>
        <v>petrol (85% ethanol from swedish wood)</v>
      </c>
      <c r="B54" s="56" t="s">
        <v>235</v>
      </c>
      <c r="C54" s="102">
        <f>D44+D34</f>
        <v>1.59084</v>
      </c>
      <c r="D54" s="102">
        <f t="shared" si="3"/>
        <v>0.82680000000000009</v>
      </c>
      <c r="E54" s="102">
        <f t="shared" si="3"/>
        <v>6.598800000000001E-3</v>
      </c>
      <c r="F54" s="58"/>
      <c r="G54" s="58"/>
      <c r="H54" s="102"/>
      <c r="I54" s="57"/>
      <c r="J54" s="57"/>
    </row>
    <row r="55" spans="1:10" s="45" customFormat="1">
      <c r="A55" s="29" t="str">
        <f t="shared" si="2"/>
        <v>diesel low-sulphur</v>
      </c>
      <c r="B55" s="56" t="s">
        <v>235</v>
      </c>
      <c r="C55" s="102">
        <f>D45+D35</f>
        <v>3.516</v>
      </c>
      <c r="D55" s="102">
        <f t="shared" si="3"/>
        <v>8.2535000000000004E-3</v>
      </c>
      <c r="E55" s="102">
        <f t="shared" si="3"/>
        <v>6.5960000000000003E-3</v>
      </c>
      <c r="F55" s="58"/>
      <c r="G55" s="58"/>
      <c r="H55" s="102"/>
      <c r="I55" s="57"/>
      <c r="J55" s="57"/>
    </row>
    <row r="56" spans="1:10" s="45" customFormat="1">
      <c r="A56" s="29" t="str">
        <f t="shared" si="2"/>
        <v>kerosene, International flights</v>
      </c>
      <c r="B56" s="56" t="s">
        <v>235</v>
      </c>
      <c r="C56" s="102">
        <f>D36+D46</f>
        <v>5.1215999999999999</v>
      </c>
      <c r="D56" s="102">
        <f t="shared" si="3"/>
        <v>3.7760000000000003E-3</v>
      </c>
      <c r="E56" s="102">
        <f t="shared" si="3"/>
        <v>5.9919999999999999E-3</v>
      </c>
      <c r="F56" s="58"/>
      <c r="G56" s="58"/>
      <c r="H56" s="102"/>
      <c r="I56" s="57"/>
      <c r="J56" s="57"/>
    </row>
    <row r="57" spans="1:10" s="45" customFormat="1">
      <c r="A57" s="29" t="str">
        <f t="shared" si="2"/>
        <v>kerosene, national flights</v>
      </c>
      <c r="B57" s="56" t="s">
        <v>235</v>
      </c>
      <c r="C57" s="102">
        <f>D47+D36</f>
        <v>3.8816000000000002</v>
      </c>
      <c r="D57" s="102">
        <f>E36</f>
        <v>3.7760000000000003E-3</v>
      </c>
      <c r="E57" s="102">
        <f>F36</f>
        <v>5.9919999999999999E-3</v>
      </c>
      <c r="F57" s="58"/>
      <c r="G57" s="58"/>
      <c r="H57" s="102"/>
      <c r="I57" s="57"/>
      <c r="J57" s="57"/>
    </row>
    <row r="58" spans="1:10" s="45" customFormat="1">
      <c r="A58" s="29" t="str">
        <f t="shared" si="2"/>
        <v xml:space="preserve">petrol  </v>
      </c>
      <c r="B58" s="56" t="s">
        <v>235</v>
      </c>
      <c r="C58" s="102">
        <f>D48+D37</f>
        <v>3.3156342182890857</v>
      </c>
      <c r="D58" s="102">
        <f>E37</f>
        <v>6.5044247787610617E-3</v>
      </c>
      <c r="E58" s="102">
        <f>F37</f>
        <v>6.1061946902654859E-3</v>
      </c>
      <c r="F58" s="58"/>
      <c r="G58" s="58"/>
      <c r="H58" s="102"/>
      <c r="I58" s="57"/>
      <c r="J58" s="57"/>
    </row>
    <row r="59" spans="1:10" s="45" customFormat="1">
      <c r="A59" s="29" t="s">
        <v>248</v>
      </c>
      <c r="B59" s="56" t="s">
        <v>235</v>
      </c>
      <c r="C59" s="102">
        <f>0.5*C53+0.5*C56</f>
        <v>2.7726465</v>
      </c>
      <c r="D59" s="102">
        <f t="shared" ref="D59" si="4">0.5*D53+0.5*D56</f>
        <v>4.1046880000000003</v>
      </c>
      <c r="E59" s="102">
        <f>0.5*E53+0.5*E56</f>
        <v>9.0713000000000009E-3</v>
      </c>
      <c r="F59" s="58"/>
      <c r="G59" s="58"/>
      <c r="H59" s="102"/>
      <c r="I59" s="57"/>
      <c r="J59" s="57"/>
    </row>
    <row r="60" spans="1:10" s="45" customFormat="1">
      <c r="A60" s="29" t="s">
        <v>250</v>
      </c>
      <c r="B60" s="56" t="s">
        <v>235</v>
      </c>
      <c r="C60" s="102">
        <f>0.5*D45+0.5*D43</f>
        <v>1.52</v>
      </c>
      <c r="D60" s="102">
        <f>0.5*E33+0.5*E35</f>
        <v>4.1069267500000004</v>
      </c>
      <c r="E60" s="102">
        <f>0.5*F33+0.5*F35</f>
        <v>9.3733000000000011E-3</v>
      </c>
      <c r="F60" s="58"/>
      <c r="G60" s="58"/>
      <c r="H60" s="102"/>
      <c r="I60" s="57"/>
      <c r="J60" s="57"/>
    </row>
    <row r="61" spans="1:10" s="45" customFormat="1">
      <c r="A61" s="29" t="s">
        <v>302</v>
      </c>
      <c r="B61" s="56" t="s">
        <v>235</v>
      </c>
      <c r="C61" s="102">
        <f>D49+D40</f>
        <v>3.2347000000000001</v>
      </c>
      <c r="D61" s="102">
        <f>E40</f>
        <v>5.751E-3</v>
      </c>
      <c r="E61" s="102">
        <f>F40</f>
        <v>6.866999999999999E-3</v>
      </c>
      <c r="F61" s="58"/>
      <c r="G61" s="58"/>
      <c r="H61" s="102"/>
      <c r="I61" s="57"/>
      <c r="J61" s="57"/>
    </row>
    <row r="62" spans="1:10" s="45" customFormat="1">
      <c r="A62" s="29"/>
      <c r="B62" s="56"/>
      <c r="C62" s="102"/>
      <c r="D62" s="102"/>
      <c r="E62" s="102"/>
      <c r="F62" s="58"/>
      <c r="G62" s="58"/>
      <c r="H62" s="102"/>
      <c r="I62" s="57"/>
      <c r="J62" s="57"/>
    </row>
    <row r="63" spans="1:10" s="45" customFormat="1">
      <c r="A63" s="56" t="s">
        <v>249</v>
      </c>
      <c r="B63" s="56" t="s">
        <v>8</v>
      </c>
      <c r="C63" s="102" t="s">
        <v>251</v>
      </c>
      <c r="D63" s="102"/>
      <c r="E63" s="102"/>
      <c r="F63" s="58"/>
      <c r="G63" s="58"/>
      <c r="H63" s="102"/>
      <c r="I63" s="57"/>
      <c r="J63" s="57"/>
    </row>
    <row r="64" spans="1:10" s="45" customFormat="1">
      <c r="A64" s="29" t="str">
        <f>A54</f>
        <v>petrol (85% ethanol from swedish wood)</v>
      </c>
      <c r="B64" s="29" t="str">
        <f>B54</f>
        <v>litres</v>
      </c>
      <c r="C64" s="102">
        <v>10.97</v>
      </c>
      <c r="D64" s="57"/>
      <c r="E64" s="57"/>
      <c r="F64" s="58"/>
      <c r="G64" s="58"/>
      <c r="H64" s="102"/>
      <c r="I64" s="57"/>
      <c r="J64" s="57"/>
    </row>
    <row r="65" spans="1:10" s="45" customFormat="1">
      <c r="A65" s="29" t="str">
        <f>A55</f>
        <v>diesel low-sulphur</v>
      </c>
      <c r="B65" s="29" t="str">
        <f>B55</f>
        <v>litres</v>
      </c>
      <c r="C65" s="102">
        <v>12.77</v>
      </c>
      <c r="D65" s="57"/>
      <c r="E65" s="57"/>
      <c r="F65" s="58"/>
      <c r="G65" s="58"/>
      <c r="H65" s="102"/>
      <c r="I65" s="57"/>
      <c r="J65" s="57"/>
    </row>
    <row r="66" spans="1:10" s="45" customFormat="1">
      <c r="A66" s="29" t="str">
        <f>A58</f>
        <v xml:space="preserve">petrol  </v>
      </c>
      <c r="B66" s="29" t="str">
        <f>B58</f>
        <v>litres</v>
      </c>
      <c r="C66" s="102">
        <v>13.2</v>
      </c>
      <c r="D66" s="57"/>
      <c r="E66" s="57"/>
      <c r="F66" s="58"/>
      <c r="G66" s="58"/>
      <c r="H66" s="102"/>
      <c r="I66" s="57"/>
      <c r="J66" s="57"/>
    </row>
    <row r="67" spans="1:10" s="45" customFormat="1">
      <c r="A67" s="29" t="str">
        <f>A60</f>
        <v>Diesel with 50% ethanol</v>
      </c>
      <c r="B67" s="29" t="str">
        <f>B59</f>
        <v>litres</v>
      </c>
      <c r="C67" s="102">
        <f>C65</f>
        <v>12.77</v>
      </c>
      <c r="D67" s="57"/>
      <c r="E67" s="57"/>
      <c r="F67" s="58"/>
      <c r="G67" s="58"/>
      <c r="H67" s="102"/>
      <c r="I67" s="57"/>
      <c r="J67" s="57"/>
    </row>
    <row r="68" spans="1:10" s="45" customFormat="1">
      <c r="A68" s="29" t="s">
        <v>304</v>
      </c>
      <c r="B68" s="29" t="s">
        <v>235</v>
      </c>
      <c r="C68" s="102">
        <v>113.55</v>
      </c>
      <c r="D68" s="102"/>
      <c r="E68" s="102"/>
      <c r="F68" s="58"/>
      <c r="G68" s="58"/>
      <c r="H68" s="102"/>
      <c r="I68" s="57"/>
      <c r="J68" s="57"/>
    </row>
    <row r="69" spans="1:10" s="45" customFormat="1">
      <c r="A69" s="29"/>
      <c r="B69" s="56"/>
      <c r="C69" s="57"/>
      <c r="D69" s="57"/>
      <c r="E69" s="57"/>
      <c r="F69" s="58"/>
      <c r="G69" s="58"/>
      <c r="H69" s="102"/>
      <c r="I69" s="57"/>
      <c r="J69" s="57"/>
    </row>
    <row r="70" spans="1:10" s="45" customFormat="1">
      <c r="A70" s="111" t="s">
        <v>252</v>
      </c>
      <c r="B70" s="111"/>
      <c r="C70" s="112"/>
      <c r="D70" s="112"/>
      <c r="E70" s="57"/>
      <c r="F70" s="58"/>
      <c r="G70" s="58"/>
      <c r="H70" s="102"/>
      <c r="I70" s="57"/>
      <c r="J70" s="57"/>
    </row>
    <row r="71" spans="1:10" s="45" customFormat="1">
      <c r="A71" s="111"/>
      <c r="B71" s="113" t="s">
        <v>226</v>
      </c>
      <c r="C71" s="113" t="s">
        <v>253</v>
      </c>
      <c r="D71" s="113" t="s">
        <v>254</v>
      </c>
      <c r="E71" s="57"/>
      <c r="F71" s="58"/>
      <c r="G71" s="58"/>
      <c r="H71" s="102"/>
      <c r="I71" s="57"/>
      <c r="J71" s="57"/>
    </row>
    <row r="72" spans="1:10" s="45" customFormat="1">
      <c r="A72" s="114" t="str">
        <f>A64</f>
        <v>petrol (85% ethanol from swedish wood)</v>
      </c>
      <c r="B72" s="115">
        <f>C54/C64</f>
        <v>0.14501731996353692</v>
      </c>
      <c r="C72" s="116">
        <f>D54/C64</f>
        <v>7.536918869644485E-2</v>
      </c>
      <c r="D72" s="116">
        <f>E54/C64</f>
        <v>6.0153144940747498E-4</v>
      </c>
      <c r="E72" s="57"/>
      <c r="F72" s="58"/>
      <c r="G72" s="58"/>
      <c r="H72" s="102"/>
      <c r="I72" s="57"/>
      <c r="J72" s="57"/>
    </row>
    <row r="73" spans="1:10" s="45" customFormat="1">
      <c r="A73" s="114" t="str">
        <f>A65</f>
        <v>diesel low-sulphur</v>
      </c>
      <c r="B73" s="115">
        <f>C55/C65</f>
        <v>0.27533281127642917</v>
      </c>
      <c r="C73" s="116">
        <f>D55/C65</f>
        <v>6.4631949882537198E-4</v>
      </c>
      <c r="D73" s="116">
        <f>E55/C65</f>
        <v>5.1652310101801097E-4</v>
      </c>
      <c r="E73" s="57"/>
      <c r="F73" s="58"/>
      <c r="G73" s="58"/>
      <c r="H73" s="102"/>
      <c r="I73" s="57"/>
      <c r="J73" s="57"/>
    </row>
    <row r="74" spans="1:10" s="45" customFormat="1">
      <c r="A74" s="114" t="str">
        <f>A66</f>
        <v xml:space="preserve">petrol  </v>
      </c>
      <c r="B74" s="115">
        <f>C58/C66</f>
        <v>0.25118441047644591</v>
      </c>
      <c r="C74" s="116">
        <f>D58/C66</f>
        <v>4.9275945293644405E-4</v>
      </c>
      <c r="D74" s="116">
        <f>E58/C66</f>
        <v>4.625905068382944E-4</v>
      </c>
      <c r="E74" s="57"/>
      <c r="F74" s="58"/>
      <c r="G74" s="58"/>
      <c r="H74" s="102"/>
      <c r="I74" s="57"/>
      <c r="J74" s="57"/>
    </row>
    <row r="75" spans="1:10" s="45" customFormat="1">
      <c r="A75" s="114" t="str">
        <f>A67</f>
        <v>Diesel with 50% ethanol</v>
      </c>
      <c r="B75" s="115">
        <f>C60/C67</f>
        <v>0.11902897415818325</v>
      </c>
      <c r="C75" s="116">
        <f>D60/C67</f>
        <v>0.32160741973375101</v>
      </c>
      <c r="D75" s="116">
        <f>E60/C67</f>
        <v>7.3400939702427575E-4</v>
      </c>
      <c r="E75" s="57"/>
      <c r="F75" s="58"/>
      <c r="G75" s="58"/>
      <c r="H75" s="102"/>
      <c r="I75" s="57"/>
      <c r="J75" s="57"/>
    </row>
    <row r="76" spans="1:10" s="45" customFormat="1">
      <c r="A76" s="114" t="str">
        <f>A68</f>
        <v>Motor oil</v>
      </c>
      <c r="B76" s="115">
        <f>C61/C68</f>
        <v>2.8487010127697051E-2</v>
      </c>
      <c r="C76" s="116">
        <f>D61/C68</f>
        <v>5.064729194187583E-5</v>
      </c>
      <c r="D76" s="116">
        <f>E61/C68</f>
        <v>6.0475561426684269E-5</v>
      </c>
      <c r="E76" s="57"/>
      <c r="F76" s="58"/>
      <c r="G76" s="58"/>
      <c r="H76" s="102"/>
      <c r="I76" s="57"/>
      <c r="J76" s="57"/>
    </row>
    <row r="77" spans="1:10" s="45" customFormat="1">
      <c r="A77" s="29"/>
      <c r="B77" s="56"/>
      <c r="C77" s="57"/>
      <c r="D77" s="57"/>
      <c r="E77" s="57"/>
      <c r="F77" s="58"/>
      <c r="G77" s="58"/>
      <c r="H77" s="102"/>
      <c r="I77" s="57"/>
      <c r="J77" s="57"/>
    </row>
  </sheetData>
  <sheetProtection algorithmName="SHA-512" hashValue="2kO8haWqf9ZsIPNwwjV4VzZGs68vnqKBr+FNp1BkdUYGd+AIFNwRaM0Vcx10OvYgMaJ6um0eSCar2pqqW2xXyQ==" saltValue="KH+z/Nl6nhjpG8bkaesCgA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tabSelected="1" zoomScale="115" zoomScaleNormal="115" workbookViewId="0">
      <selection activeCell="B33" sqref="B33"/>
    </sheetView>
  </sheetViews>
  <sheetFormatPr defaultRowHeight="15"/>
  <cols>
    <col min="1" max="1" width="28" customWidth="1"/>
    <col min="2" max="2" width="15.85546875" bestFit="1" customWidth="1"/>
    <col min="3" max="3" width="12.140625" bestFit="1" customWidth="1"/>
  </cols>
  <sheetData>
    <row r="1" spans="1:4">
      <c r="A1" s="42" t="s">
        <v>262</v>
      </c>
    </row>
    <row r="2" spans="1:4">
      <c r="A2" s="118" t="s">
        <v>267</v>
      </c>
      <c r="B2" s="117"/>
      <c r="C2" s="117"/>
      <c r="D2" s="117"/>
    </row>
    <row r="3" spans="1:4">
      <c r="A3" s="117"/>
      <c r="B3" s="113" t="s">
        <v>266</v>
      </c>
      <c r="C3" s="113"/>
      <c r="D3" s="113"/>
    </row>
    <row r="4" spans="1:4" s="107" customFormat="1">
      <c r="A4" s="117" t="s">
        <v>264</v>
      </c>
      <c r="B4" s="117">
        <v>7.2999999999999996E-4</v>
      </c>
      <c r="C4" s="117"/>
      <c r="D4" s="117"/>
    </row>
    <row r="5" spans="1:4" s="107" customFormat="1">
      <c r="A5" s="117" t="s">
        <v>265</v>
      </c>
      <c r="B5" s="117">
        <v>3.3390000000000003E-2</v>
      </c>
      <c r="C5" s="117"/>
      <c r="D5" s="117"/>
    </row>
    <row r="6" spans="1:4" s="107" customFormat="1"/>
    <row r="7" spans="1:4" s="107" customFormat="1">
      <c r="A7" s="118" t="s">
        <v>268</v>
      </c>
      <c r="B7" s="116"/>
      <c r="C7" s="116"/>
      <c r="D7" s="116"/>
    </row>
    <row r="8" spans="1:4">
      <c r="A8" s="117"/>
      <c r="B8" s="116" t="s">
        <v>269</v>
      </c>
      <c r="C8" s="138" t="s">
        <v>270</v>
      </c>
      <c r="D8" s="138"/>
    </row>
    <row r="9" spans="1:4" s="107" customFormat="1">
      <c r="A9" s="117" t="s">
        <v>264</v>
      </c>
      <c r="B9" s="116">
        <f>14/10</f>
        <v>1.4</v>
      </c>
      <c r="C9" s="116">
        <f>B4/B9</f>
        <v>5.2142857142857145E-4</v>
      </c>
      <c r="D9" s="116" t="s">
        <v>307</v>
      </c>
    </row>
    <row r="10" spans="1:4" s="151" customFormat="1" ht="12.75">
      <c r="A10" s="149" t="s">
        <v>265</v>
      </c>
      <c r="B10" s="150">
        <f>14/10</f>
        <v>1.4</v>
      </c>
      <c r="C10" s="150">
        <f>B5/B10</f>
        <v>2.3850000000000003E-2</v>
      </c>
      <c r="D10" s="150"/>
    </row>
    <row r="11" spans="1:4" s="151" customFormat="1" ht="12.75">
      <c r="B11" s="152"/>
      <c r="C11" s="152"/>
      <c r="D11" s="152"/>
    </row>
    <row r="12" spans="1:4" s="151" customFormat="1" ht="12.75">
      <c r="A12" s="153" t="s">
        <v>263</v>
      </c>
      <c r="B12" s="152"/>
      <c r="C12" s="152"/>
      <c r="D12" s="152"/>
    </row>
    <row r="13" spans="1:4" s="151" customFormat="1" ht="12.75">
      <c r="A13" s="149" t="str">
        <f>'Package tours'!A11</f>
        <v>CC (Recipe) kg CO2 eq/SEK</v>
      </c>
      <c r="B13" s="150">
        <f>'Package tours'!B11</f>
        <v>7.9630724050632901E-2</v>
      </c>
      <c r="C13" s="152"/>
      <c r="D13" s="152"/>
    </row>
    <row r="14" spans="1:4" s="151" customFormat="1" ht="12.75">
      <c r="A14" s="149" t="str">
        <f>'Package tours'!A12</f>
        <v>LU (Recipe) m2 agricultural/SEK</v>
      </c>
      <c r="B14" s="150">
        <f>'Package tours'!B12</f>
        <v>1.8692610379746836E-4</v>
      </c>
      <c r="C14" s="152"/>
      <c r="D14" s="152"/>
    </row>
    <row r="15" spans="1:4" s="151" customFormat="1" ht="12.75">
      <c r="A15" s="149" t="str">
        <f>'Package tours'!A13</f>
        <v>WRD (Recipe) m3/SEK</v>
      </c>
      <c r="B15" s="150">
        <f>'Package tours'!B13</f>
        <v>1.493868759493671E-4</v>
      </c>
      <c r="C15" s="152"/>
      <c r="D15" s="152"/>
    </row>
    <row r="16" spans="1:4" s="151" customFormat="1">
      <c r="B16" s="152"/>
      <c r="C16" s="148"/>
      <c r="D16" s="152"/>
    </row>
    <row r="17" spans="1:4" s="151" customFormat="1" ht="12.75">
      <c r="A17" s="153" t="s">
        <v>299</v>
      </c>
      <c r="B17" s="152"/>
      <c r="C17" s="152"/>
      <c r="D17" s="152"/>
    </row>
    <row r="18" spans="1:4" s="151" customFormat="1" ht="12.75">
      <c r="A18" s="151" t="s">
        <v>305</v>
      </c>
      <c r="B18" s="152">
        <f>7540*1000000</f>
        <v>7540000000</v>
      </c>
      <c r="C18" s="152"/>
      <c r="D18" s="152"/>
    </row>
    <row r="19" spans="1:4" s="151" customFormat="1" ht="12.75">
      <c r="A19" s="151" t="s">
        <v>306</v>
      </c>
      <c r="B19" s="152">
        <f>69784*1000</f>
        <v>69784000</v>
      </c>
      <c r="C19" s="152"/>
      <c r="D19" s="152"/>
    </row>
    <row r="20" spans="1:4" s="151" customFormat="1" ht="12.75">
      <c r="A20" s="149" t="s">
        <v>175</v>
      </c>
      <c r="B20" s="150">
        <f>B19/B18</f>
        <v>9.255172413793103E-3</v>
      </c>
      <c r="C20" s="152"/>
      <c r="D20" s="152"/>
    </row>
    <row r="21" spans="1:4" s="151" customFormat="1" ht="12.75"/>
    <row r="22" spans="1:4" s="151" customFormat="1" ht="12.75">
      <c r="A22" s="153" t="s">
        <v>0</v>
      </c>
    </row>
    <row r="23" spans="1:4" s="151" customFormat="1" ht="12.75">
      <c r="A23" s="151" t="s">
        <v>308</v>
      </c>
      <c r="B23" s="152">
        <f>(176+303+311+325)/4/10</f>
        <v>27.875</v>
      </c>
    </row>
    <row r="24" spans="1:4" s="151" customFormat="1" ht="12.75">
      <c r="A24" s="151" t="s">
        <v>309</v>
      </c>
      <c r="B24" s="152">
        <f>0.59/10</f>
        <v>5.8999999999999997E-2</v>
      </c>
    </row>
    <row r="25" spans="1:4" s="151" customFormat="1" ht="12.75">
      <c r="A25" s="149" t="s">
        <v>226</v>
      </c>
      <c r="B25" s="150">
        <f>($B$24*Fuels!C58)/$B$23</f>
        <v>7.0178446234638939E-3</v>
      </c>
    </row>
    <row r="26" spans="1:4" s="151" customFormat="1" ht="12.75">
      <c r="A26" s="149" t="s">
        <v>253</v>
      </c>
      <c r="B26" s="150">
        <f>($B$24*Fuels!D58)/$B$23</f>
        <v>1.3767212984642247E-5</v>
      </c>
    </row>
    <row r="27" spans="1:4" s="151" customFormat="1" ht="12.75">
      <c r="A27" s="149" t="s">
        <v>254</v>
      </c>
      <c r="B27" s="150">
        <f>($B$24*Fuels!E58)/$B$23</f>
        <v>1.2924322393745781E-5</v>
      </c>
    </row>
  </sheetData>
  <sheetProtection algorithmName="SHA-512" hashValue="LNlOtsWnpMGcSvPH9MfLV29/YfVW9gzZ116m3aYYQBRJjx4A6bbdlUiUbI8/eirX4vaDTtxfAfu8WYruE6Gxfw==" saltValue="j6aa3ei+ub4S1D29SamSjA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Package tours</vt:lpstr>
      <vt:lpstr>Home holyday</vt:lpstr>
      <vt:lpstr>Electricity</vt:lpstr>
      <vt:lpstr>Heating</vt:lpstr>
      <vt:lpstr>Rent</vt:lpstr>
      <vt:lpstr>Fuels</vt:lpstr>
      <vt:lpstr> Train, bus etc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Carlsson-Kanyama</dc:creator>
  <cp:lastModifiedBy>Annika Carlsson-Kanyama</cp:lastModifiedBy>
  <dcterms:created xsi:type="dcterms:W3CDTF">2019-10-02T14:54:55Z</dcterms:created>
  <dcterms:modified xsi:type="dcterms:W3CDTF">2019-12-09T13:05:34Z</dcterms:modified>
</cp:coreProperties>
</file>