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60" windowHeight="13785" firstSheet="8" activeTab="8"/>
  </bookViews>
  <sheets>
    <sheet name="Alcohol, beverages and tobacco" sheetId="1" r:id="rId1"/>
    <sheet name="Clothes, shoes" sheetId="2" r:id="rId2"/>
    <sheet name="Education services" sheetId="3" r:id="rId3"/>
    <sheet name="Food" sheetId="4" r:id="rId4"/>
    <sheet name="Furnishings" sheetId="5" r:id="rId5"/>
    <sheet name="Health" sheetId="6" r:id="rId6"/>
    <sheet name="Information and communication" sheetId="7" r:id="rId7"/>
    <sheet name="Miscellaneous goods and service" sheetId="8" r:id="rId8"/>
    <sheet name="Recreation, sport and culture" sheetId="9" r:id="rId9"/>
    <sheet name="Restaurants and accomodation" sheetId="10" r:id="rId10"/>
    <sheet name="Transport" sheetId="11" r:id="rId11"/>
    <sheet name="Water and rent" sheetId="12" r:id="rId12"/>
    <sheet name="Transportation" sheetId="13" r:id="rId13"/>
  </sheets>
  <externalReferences>
    <externalReference r:id="rId16"/>
    <externalReference r:id="rId17"/>
  </externalReferences>
  <definedNames/>
  <calcPr fullCalcOnLoad="1"/>
</workbook>
</file>

<file path=xl/comments1.xml><?xml version="1.0" encoding="utf-8"?>
<comments xmlns="http://schemas.openxmlformats.org/spreadsheetml/2006/main">
  <authors>
    <author>Annika Carlsson-Kanyama</author>
    <author>Microsoft Office User</author>
  </authors>
  <commentList>
    <comment ref="A1" authorId="0">
      <text>
        <r>
          <rPr>
            <b/>
            <sz val="9"/>
            <color indexed="8"/>
            <rFont val="Tahoma"/>
            <family val="2"/>
          </rPr>
          <t>Annika Carlsson-Kanyama This information about household expenditures has been inserted to identify products with high expenditures. Green rows are where an analyses are made.</t>
        </r>
      </text>
    </comment>
    <comment ref="H1" authorId="1">
      <text>
        <r>
          <rPr>
            <b/>
            <sz val="10"/>
            <color indexed="8"/>
            <rFont val="Tahoma"/>
            <family val="2"/>
          </rPr>
          <t>Microsoft Office User:</t>
        </r>
        <r>
          <rPr>
            <sz val="10"/>
            <color indexed="8"/>
            <rFont val="Tahoma"/>
            <family val="2"/>
          </rPr>
          <t xml:space="preserve">
</t>
        </r>
        <r>
          <rPr>
            <sz val="10"/>
            <color indexed="8"/>
            <rFont val="Tahoma"/>
            <family val="2"/>
          </rPr>
          <t>Consumer prices, for specific goods, in 2016 are estimated using CPI for goods and services as divided according to COICOP.</t>
        </r>
      </text>
    </comment>
    <comment ref="P17" authorId="1">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26" authorId="1">
      <text>
        <r>
          <rPr>
            <b/>
            <sz val="10"/>
            <color indexed="8"/>
            <rFont val="Tahoma"/>
            <family val="2"/>
          </rPr>
          <t>Microsoft Office User:</t>
        </r>
        <r>
          <rPr>
            <sz val="10"/>
            <color indexed="8"/>
            <rFont val="Tahoma"/>
            <family val="2"/>
          </rPr>
          <t xml:space="preserve">
</t>
        </r>
        <r>
          <rPr>
            <sz val="10"/>
            <color indexed="8"/>
            <rFont val="Tahoma"/>
            <family val="2"/>
          </rPr>
          <t>Price collected at ICA in mayl 2019.</t>
        </r>
      </text>
    </comment>
    <comment ref="L26" authorId="1">
      <text>
        <r>
          <rPr>
            <b/>
            <sz val="10"/>
            <color indexed="8"/>
            <rFont val="Tahoma"/>
            <family val="2"/>
          </rPr>
          <t>Microsoft Office User:</t>
        </r>
        <r>
          <rPr>
            <sz val="10"/>
            <color indexed="8"/>
            <rFont val="Tahoma"/>
            <family val="2"/>
          </rPr>
          <t xml:space="preserve">
</t>
        </r>
        <r>
          <rPr>
            <sz val="10"/>
            <color indexed="8"/>
            <rFont val="Tahoma"/>
            <family val="2"/>
          </rPr>
          <t>Information from Swedish Match via mail, april 2019</t>
        </r>
      </text>
    </comment>
    <comment ref="P26" authorId="1">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K17" authorId="1">
      <text>
        <r>
          <rPr>
            <b/>
            <sz val="10"/>
            <color indexed="8"/>
            <rFont val="Tahoma"/>
            <family val="2"/>
          </rPr>
          <t>Microsoft Office User:</t>
        </r>
        <r>
          <rPr>
            <sz val="10"/>
            <color indexed="8"/>
            <rFont val="Tahoma"/>
            <family val="2"/>
          </rPr>
          <t xml:space="preserve">
</t>
        </r>
        <r>
          <rPr>
            <sz val="10"/>
            <color indexed="8"/>
            <rFont val="Tahoma"/>
            <family val="2"/>
          </rPr>
          <t>Information from LCA on beer production "Life cycle environmental impacts and costs of beer production and onsumption in the UK" by D. Amienyo and A. Azapagic in 2016.</t>
        </r>
      </text>
    </comment>
    <comment ref="L17" authorId="1">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on beer production "Life cycle environmental impacts and costs of beer production and onsumption in the UK" by D. Amienyo and A. Azapagic in 2016.
</t>
        </r>
      </text>
    </comment>
    <comment ref="K10" authorId="1">
      <text>
        <r>
          <rPr>
            <b/>
            <sz val="10"/>
            <color indexed="8"/>
            <rFont val="Tahoma"/>
            <family val="2"/>
          </rPr>
          <t>Microsoft Office User:</t>
        </r>
        <r>
          <rPr>
            <sz val="10"/>
            <color indexed="8"/>
            <rFont val="Tahoma"/>
            <family val="2"/>
          </rPr>
          <t xml:space="preserve">
</t>
        </r>
        <r>
          <rPr>
            <sz val="10"/>
            <color indexed="8"/>
            <rFont val="Tahoma"/>
            <family val="2"/>
          </rPr>
          <t>Information from two LCA on wine production "Enviromental impacts of consumption of Australian red wine in the UK" by D. Amienyo et al. in 2014 and "Delving into the enviromental aspects of a Sardinian white wine: From partial to total life cycle assessment" by A. Fusi et al. in 2014.</t>
        </r>
      </text>
    </comment>
    <comment ref="L10" authorId="1">
      <text>
        <r>
          <rPr>
            <b/>
            <sz val="10"/>
            <color indexed="8"/>
            <rFont val="Tahoma"/>
            <family val="2"/>
          </rPr>
          <t>Microsoft Office User:</t>
        </r>
        <r>
          <rPr>
            <sz val="10"/>
            <color indexed="8"/>
            <rFont val="Tahoma"/>
            <family val="2"/>
          </rPr>
          <t xml:space="preserve">
</t>
        </r>
        <r>
          <rPr>
            <sz val="10"/>
            <color indexed="8"/>
            <rFont val="Arial"/>
            <family val="2"/>
          </rPr>
          <t xml:space="preserve">Information from two LCA on wine production "Enviromental impacts of consumption of Australian red wine in the UK" by D. Amienyo et al. in 2014 and "Delving into the enviromental aspects of a Sardinian white wine: From partial to total life cycle assessment" by A. Fusi et al. in 2014.
</t>
        </r>
      </text>
    </comment>
    <comment ref="G10" authorId="1">
      <text>
        <r>
          <rPr>
            <b/>
            <sz val="10"/>
            <color indexed="8"/>
            <rFont val="Tahoma"/>
            <family val="2"/>
          </rPr>
          <t>Microsoft Office User:</t>
        </r>
        <r>
          <rPr>
            <sz val="10"/>
            <color indexed="8"/>
            <rFont val="Tahoma"/>
            <family val="2"/>
          </rPr>
          <t xml:space="preserve">
</t>
        </r>
        <r>
          <rPr>
            <sz val="10"/>
            <color indexed="8"/>
            <rFont val="Tahoma"/>
            <family val="2"/>
          </rPr>
          <t>Jacobs creek double barrel shiraz &amp; Mone stelle soave classico</t>
        </r>
      </text>
    </comment>
    <comment ref="I10" authorId="1">
      <text>
        <r>
          <rPr>
            <b/>
            <sz val="10"/>
            <color indexed="8"/>
            <rFont val="Tahoma"/>
            <family val="2"/>
          </rPr>
          <t>Microsoft Office User:</t>
        </r>
        <r>
          <rPr>
            <sz val="10"/>
            <color indexed="8"/>
            <rFont val="Tahoma"/>
            <family val="2"/>
          </rPr>
          <t xml:space="preserve">
</t>
        </r>
        <r>
          <rPr>
            <sz val="10"/>
            <color indexed="8"/>
            <rFont val="Tahoma"/>
            <family val="2"/>
          </rPr>
          <t>Average price of the two bottles at Systembolaget.se, may 2019</t>
        </r>
      </text>
    </comment>
    <comment ref="J10" authorId="1">
      <text>
        <r>
          <rPr>
            <b/>
            <sz val="10"/>
            <color indexed="8"/>
            <rFont val="Tahoma"/>
            <family val="2"/>
          </rPr>
          <t>Microsoft Office User:</t>
        </r>
        <r>
          <rPr>
            <sz val="10"/>
            <color indexed="8"/>
            <rFont val="Tahoma"/>
            <family val="2"/>
          </rPr>
          <t xml:space="preserve">
</t>
        </r>
        <r>
          <rPr>
            <sz val="10"/>
            <color indexed="8"/>
            <rFont val="Tahoma"/>
            <family val="2"/>
          </rPr>
          <t>Total consumer tax includes both alcolhol-tax and VAT.</t>
        </r>
      </text>
    </comment>
    <comment ref="P10" authorId="1">
      <text>
        <r>
          <rPr>
            <b/>
            <sz val="10"/>
            <color indexed="8"/>
            <rFont val="Tahoma"/>
            <family val="2"/>
          </rPr>
          <t>Microsoft Office User:</t>
        </r>
        <r>
          <rPr>
            <sz val="10"/>
            <color indexed="8"/>
            <rFont val="Tahoma"/>
            <family val="2"/>
          </rPr>
          <t xml:space="preserve">
</t>
        </r>
        <r>
          <rPr>
            <sz val="10"/>
            <color indexed="8"/>
            <rFont val="Tahoma"/>
            <family val="2"/>
          </rPr>
          <t>Information from Systembolaget.se, obtained in may 2019.</t>
        </r>
      </text>
    </comment>
    <comment ref="J17" authorId="1">
      <text>
        <r>
          <rPr>
            <b/>
            <sz val="10"/>
            <color indexed="8"/>
            <rFont val="Tahoma"/>
            <family val="2"/>
          </rPr>
          <t>Microsoft Office User:</t>
        </r>
        <r>
          <rPr>
            <sz val="10"/>
            <color indexed="8"/>
            <rFont val="Tahoma"/>
            <family val="2"/>
          </rPr>
          <t xml:space="preserve">
</t>
        </r>
        <r>
          <rPr>
            <sz val="10"/>
            <color indexed="8"/>
            <rFont val="Arial"/>
            <family val="2"/>
          </rPr>
          <t xml:space="preserve">Total consumer tax includes both alcolhol-tax and VAT.
</t>
        </r>
      </text>
    </comment>
    <comment ref="G17" authorId="1">
      <text>
        <r>
          <rPr>
            <b/>
            <sz val="10"/>
            <color indexed="8"/>
            <rFont val="Tahoma"/>
            <family val="2"/>
          </rPr>
          <t>Microsoft Office User:</t>
        </r>
        <r>
          <rPr>
            <sz val="10"/>
            <color indexed="8"/>
            <rFont val="Tahoma"/>
            <family val="2"/>
          </rPr>
          <t xml:space="preserve">
</t>
        </r>
        <r>
          <rPr>
            <sz val="10"/>
            <color indexed="8"/>
            <rFont val="Tahoma"/>
            <family val="2"/>
          </rPr>
          <t>Heineken lager beer 5,0%</t>
        </r>
      </text>
    </comment>
    <comment ref="N10" authorId="1">
      <text>
        <r>
          <rPr>
            <b/>
            <sz val="10"/>
            <color indexed="8"/>
            <rFont val="Tahoma"/>
            <family val="2"/>
          </rPr>
          <t>Microsoft Office User:</t>
        </r>
        <r>
          <rPr>
            <sz val="10"/>
            <color indexed="8"/>
            <rFont val="Tahoma"/>
            <family val="2"/>
          </rPr>
          <t xml:space="preserve">
</t>
        </r>
        <r>
          <rPr>
            <sz val="10"/>
            <color indexed="8"/>
            <rFont val="Tahoma"/>
            <family val="2"/>
          </rPr>
          <t>Product packaging.</t>
        </r>
      </text>
    </comment>
    <comment ref="N17" authorId="1">
      <text>
        <r>
          <rPr>
            <b/>
            <sz val="10"/>
            <color indexed="8"/>
            <rFont val="Tahoma"/>
            <family val="2"/>
          </rPr>
          <t>Microsoft Office User:</t>
        </r>
        <r>
          <rPr>
            <sz val="10"/>
            <color indexed="8"/>
            <rFont val="Tahoma"/>
            <family val="2"/>
          </rPr>
          <t xml:space="preserve">
</t>
        </r>
        <r>
          <rPr>
            <sz val="10"/>
            <color indexed="8"/>
            <rFont val="Tahoma"/>
            <family val="2"/>
          </rPr>
          <t>Product packaging.</t>
        </r>
      </text>
    </comment>
    <comment ref="K5" authorId="1">
      <text>
        <r>
          <rPr>
            <b/>
            <sz val="10"/>
            <color indexed="8"/>
            <rFont val="Tahoma"/>
            <family val="2"/>
          </rPr>
          <t>Microsoft Office User:</t>
        </r>
        <r>
          <rPr>
            <sz val="10"/>
            <color indexed="8"/>
            <rFont val="Tahoma"/>
            <family val="2"/>
          </rPr>
          <t xml:space="preserve">
</t>
        </r>
        <r>
          <rPr>
            <sz val="10"/>
            <color indexed="8"/>
            <rFont val="Tahoma"/>
            <family val="2"/>
          </rPr>
          <t>Infromation from LCA on whiskey "Livscykelanalys av en flaska whisky" by V. Ericsson and D. Jonsson in 2013.</t>
        </r>
      </text>
    </comment>
    <comment ref="L5" authorId="1">
      <text>
        <r>
          <rPr>
            <b/>
            <sz val="10"/>
            <color indexed="8"/>
            <rFont val="Tahoma"/>
            <family val="2"/>
          </rPr>
          <t>Microsoft Office User:</t>
        </r>
        <r>
          <rPr>
            <sz val="10"/>
            <color indexed="8"/>
            <rFont val="Tahoma"/>
            <family val="2"/>
          </rPr>
          <t xml:space="preserve">
</t>
        </r>
        <r>
          <rPr>
            <sz val="10"/>
            <color indexed="8"/>
            <rFont val="Arial"/>
            <family val="2"/>
          </rPr>
          <t xml:space="preserve">Infromation from LCA on whiskey "Livscykelanalys av en flaska whisky" by V. Ericsson and D. Jonsson in 2013.
</t>
        </r>
      </text>
    </comment>
    <comment ref="O5" authorId="1">
      <text>
        <r>
          <rPr>
            <b/>
            <sz val="10"/>
            <color indexed="8"/>
            <rFont val="Tahoma"/>
            <family val="2"/>
          </rPr>
          <t>Microsoft Office User:</t>
        </r>
        <r>
          <rPr>
            <sz val="10"/>
            <color indexed="8"/>
            <rFont val="Tahoma"/>
            <family val="2"/>
          </rPr>
          <t xml:space="preserve">
</t>
        </r>
        <r>
          <rPr>
            <sz val="10"/>
            <color indexed="8"/>
            <rFont val="Arial"/>
            <family val="2"/>
          </rPr>
          <t>Infromation from LCA on whiskey "Livscykelanalys av en flaska whisky" by V. Ericsson and D. Jonsson in 2013.</t>
        </r>
        <r>
          <rPr>
            <sz val="10"/>
            <color indexed="8"/>
            <rFont val="Arial"/>
            <family val="2"/>
          </rPr>
          <t xml:space="preserve">
</t>
        </r>
      </text>
    </comment>
    <comment ref="P5" authorId="1">
      <text>
        <r>
          <rPr>
            <b/>
            <sz val="10"/>
            <color indexed="8"/>
            <rFont val="Tahoma"/>
            <family val="2"/>
          </rPr>
          <t>Microsoft Office User:</t>
        </r>
        <r>
          <rPr>
            <sz val="10"/>
            <color indexed="8"/>
            <rFont val="Tahoma"/>
            <family val="2"/>
          </rPr>
          <t xml:space="preserve">
</t>
        </r>
        <r>
          <rPr>
            <sz val="10"/>
            <color indexed="8"/>
            <rFont val="Arial"/>
            <family val="2"/>
          </rPr>
          <t xml:space="preserve">Infromation from LCA on whiskey "Livscykelanalys av en flaska whisky" by V. Ericsson and D. Jonsson in 2013.
</t>
        </r>
      </text>
    </comment>
    <comment ref="O10" authorId="1">
      <text>
        <r>
          <rPr>
            <b/>
            <sz val="10"/>
            <color indexed="8"/>
            <rFont val="Tahoma"/>
            <family val="2"/>
          </rPr>
          <t>Microsoft Office User:</t>
        </r>
        <r>
          <rPr>
            <sz val="10"/>
            <color indexed="8"/>
            <rFont val="Tahoma"/>
            <family val="2"/>
          </rPr>
          <t xml:space="preserve">
</t>
        </r>
        <r>
          <rPr>
            <sz val="10"/>
            <color indexed="8"/>
            <rFont val="Tahoma"/>
            <family val="2"/>
          </rPr>
          <t>Information from systembolaget.se, obtained in may 2019.</t>
        </r>
      </text>
    </comment>
    <comment ref="G5" authorId="1">
      <text>
        <r>
          <rPr>
            <b/>
            <sz val="10"/>
            <color indexed="8"/>
            <rFont val="Tahoma"/>
            <family val="2"/>
          </rPr>
          <t>Microsoft Office User:</t>
        </r>
        <r>
          <rPr>
            <sz val="10"/>
            <color indexed="8"/>
            <rFont val="Tahoma"/>
            <family val="2"/>
          </rPr>
          <t xml:space="preserve">
</t>
        </r>
        <r>
          <rPr>
            <sz val="10"/>
            <color indexed="8"/>
            <rFont val="Tahoma"/>
            <family val="2"/>
          </rPr>
          <t>Mackmyra Brukswhisky</t>
        </r>
      </text>
    </comment>
    <comment ref="I5" authorId="1">
      <text>
        <r>
          <rPr>
            <b/>
            <sz val="10"/>
            <color indexed="8"/>
            <rFont val="Tahoma"/>
            <family val="2"/>
          </rPr>
          <t>Microsoft Office User:</t>
        </r>
        <r>
          <rPr>
            <sz val="10"/>
            <color indexed="8"/>
            <rFont val="Tahoma"/>
            <family val="2"/>
          </rPr>
          <t xml:space="preserve">
</t>
        </r>
        <r>
          <rPr>
            <sz val="10"/>
            <color indexed="8"/>
            <rFont val="Tahoma"/>
            <family val="2"/>
          </rPr>
          <t>Information from systembolaget.se, may 2019</t>
        </r>
      </text>
    </comment>
    <comment ref="I17" authorId="1">
      <text>
        <r>
          <rPr>
            <b/>
            <sz val="10"/>
            <color indexed="8"/>
            <rFont val="Tahoma"/>
            <family val="2"/>
          </rPr>
          <t>Microsoft Office User:</t>
        </r>
        <r>
          <rPr>
            <sz val="10"/>
            <color indexed="8"/>
            <rFont val="Tahoma"/>
            <family val="2"/>
          </rPr>
          <t xml:space="preserve">
</t>
        </r>
        <r>
          <rPr>
            <sz val="10"/>
            <color indexed="8"/>
            <rFont val="Tahoma"/>
            <family val="2"/>
          </rPr>
          <t>Information from systembolaget.se, may 2019.</t>
        </r>
      </text>
    </comment>
    <comment ref="J5" authorId="1">
      <text>
        <r>
          <rPr>
            <b/>
            <sz val="10"/>
            <color indexed="8"/>
            <rFont val="Tahoma"/>
            <family val="2"/>
          </rPr>
          <t>Microsoft Office User:</t>
        </r>
        <r>
          <rPr>
            <sz val="10"/>
            <color indexed="8"/>
            <rFont val="Tahoma"/>
            <family val="2"/>
          </rPr>
          <t xml:space="preserve">
</t>
        </r>
        <r>
          <rPr>
            <sz val="10"/>
            <color indexed="8"/>
            <rFont val="Tahoma"/>
            <family val="2"/>
          </rPr>
          <t>Total consumer tac includes both alcohol tax and VAT.</t>
        </r>
      </text>
    </comment>
    <comment ref="D32" authorId="1">
      <text>
        <r>
          <rPr>
            <b/>
            <sz val="10"/>
            <color indexed="8"/>
            <rFont val="Tahoma"/>
            <family val="2"/>
          </rPr>
          <t>Microsoft Office User:</t>
        </r>
        <r>
          <rPr>
            <sz val="10"/>
            <color indexed="8"/>
            <rFont val="Tahoma"/>
            <family val="2"/>
          </rPr>
          <t xml:space="preserve">
</t>
        </r>
        <r>
          <rPr>
            <sz val="10"/>
            <color indexed="8"/>
            <rFont val="Arial"/>
            <family val="2"/>
          </rPr>
          <t>Infromation from LCA on whiskey "Livscykelanalys av en flaska whisky" by V. Ericsson and D. Jonsson in 2013.</t>
        </r>
      </text>
    </comment>
    <comment ref="C32" authorId="1">
      <text>
        <r>
          <rPr>
            <b/>
            <sz val="10"/>
            <color indexed="8"/>
            <rFont val="Tahoma"/>
            <family val="2"/>
          </rPr>
          <t>Microsoft Office User:</t>
        </r>
        <r>
          <rPr>
            <sz val="10"/>
            <color indexed="8"/>
            <rFont val="Tahoma"/>
            <family val="2"/>
          </rPr>
          <t xml:space="preserve">
</t>
        </r>
        <r>
          <rPr>
            <sz val="10"/>
            <color indexed="8"/>
            <rFont val="Tahoma"/>
            <family val="2"/>
          </rPr>
          <t>Estimate based on data from comtrade.un.org on the value of swedish imports and exports of malt.</t>
        </r>
      </text>
    </comment>
    <comment ref="I21" authorId="1">
      <text>
        <r>
          <rPr>
            <b/>
            <sz val="10"/>
            <color indexed="8"/>
            <rFont val="Tahoma"/>
            <family val="2"/>
          </rPr>
          <t>Microsoft Office User:</t>
        </r>
        <r>
          <rPr>
            <sz val="10"/>
            <color indexed="8"/>
            <rFont val="Tahoma"/>
            <family val="2"/>
          </rPr>
          <t xml:space="preserve">
</t>
        </r>
        <r>
          <rPr>
            <sz val="10"/>
            <color indexed="8"/>
            <rFont val="Tahoma"/>
            <family val="2"/>
          </rPr>
          <t>Prices collected at ICA, may 2019.</t>
        </r>
      </text>
    </comment>
    <comment ref="K21" authorId="1">
      <text>
        <r>
          <rPr>
            <b/>
            <sz val="10"/>
            <color indexed="8"/>
            <rFont val="Tahoma"/>
            <family val="2"/>
          </rPr>
          <t>Microsoft Office User:</t>
        </r>
        <r>
          <rPr>
            <sz val="10"/>
            <color indexed="8"/>
            <rFont val="Tahoma"/>
            <family val="2"/>
          </rPr>
          <t xml:space="preserve">
</t>
        </r>
        <r>
          <rPr>
            <sz val="10"/>
            <color indexed="8"/>
            <rFont val="Tahoma"/>
            <family val="2"/>
          </rPr>
          <t>Information from LCA on cigarettes "Cigarette smoking: an assessment of tobacco's global environmental footprint across its entire supply chain" by M. Zafeiridou et al. in 2018.</t>
        </r>
      </text>
    </comment>
    <comment ref="L21" authorId="1">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on cigarettes "Cigarette smoking: an assessment of tobacco's global environmental footprint across its entire supply chain" by M. Zafeiridou et al. in 2018.
</t>
        </r>
      </text>
    </comment>
    <comment ref="N21" authorId="1">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23" authorId="1">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26" authorId="1">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I23" authorId="1">
      <text>
        <r>
          <rPr>
            <b/>
            <sz val="10"/>
            <color indexed="8"/>
            <rFont val="Tahoma"/>
            <family val="2"/>
          </rPr>
          <t>Microsoft Office User:</t>
        </r>
        <r>
          <rPr>
            <sz val="10"/>
            <color indexed="8"/>
            <rFont val="Tahoma"/>
            <family val="2"/>
          </rPr>
          <t xml:space="preserve">
</t>
        </r>
        <r>
          <rPr>
            <sz val="10"/>
            <color indexed="8"/>
            <rFont val="Tahoma"/>
            <family val="2"/>
          </rPr>
          <t>Prices collected at ICA, may 2019.</t>
        </r>
      </text>
    </comment>
    <comment ref="P21" authorId="1">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P23" authorId="1">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Q21" authorId="0">
      <text>
        <r>
          <rPr>
            <b/>
            <sz val="9"/>
            <rFont val="Tahoma"/>
            <family val="2"/>
          </rPr>
          <t>Annika Carlsson-Kanyama:</t>
        </r>
        <r>
          <rPr>
            <sz val="9"/>
            <rFont val="Tahoma"/>
            <family val="2"/>
          </rPr>
          <t xml:space="preserve">
This includes onlly the  packaging </t>
        </r>
      </text>
    </comment>
  </commentList>
</comments>
</file>

<file path=xl/comments10.xml><?xml version="1.0" encoding="utf-8"?>
<comments xmlns="http://schemas.openxmlformats.org/spreadsheetml/2006/main">
  <authors>
    <author>Annika Carlsson-Kanyama</author>
  </authors>
  <commentList>
    <comment ref="A1" authorId="0">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11.xml><?xml version="1.0" encoding="utf-8"?>
<comments xmlns="http://schemas.openxmlformats.org/spreadsheetml/2006/main">
  <authors>
    <author>Microsoft Office User</author>
    <author>Annika Carlsson-Kanyama</author>
  </authors>
  <commentList>
    <comment ref="N17" authorId="0">
      <text>
        <r>
          <rPr>
            <b/>
            <sz val="10"/>
            <color indexed="8"/>
            <rFont val="Tahoma"/>
            <family val="2"/>
          </rPr>
          <t>Microsoft Office User:</t>
        </r>
        <r>
          <rPr>
            <sz val="10"/>
            <color indexed="8"/>
            <rFont val="Tahoma"/>
            <family val="2"/>
          </rPr>
          <t xml:space="preserve">
</t>
        </r>
        <r>
          <rPr>
            <sz val="10"/>
            <color indexed="8"/>
            <rFont val="Tahoma"/>
            <family val="2"/>
          </rPr>
          <t>Origin countries for the majority of imports in 2016 by tons of units. Data collected from, and available at, SCB.se</t>
        </r>
      </text>
    </comment>
    <comment ref="K17" authorId="0">
      <text>
        <r>
          <rPr>
            <b/>
            <sz val="10"/>
            <color indexed="8"/>
            <rFont val="Tahoma"/>
            <family val="2"/>
          </rPr>
          <t>Microsoft Office User:</t>
        </r>
        <r>
          <rPr>
            <sz val="10"/>
            <color indexed="8"/>
            <rFont val="Tahoma"/>
            <family val="2"/>
          </rPr>
          <t xml:space="preserve">
</t>
        </r>
        <r>
          <rPr>
            <sz val="10"/>
            <color indexed="8"/>
            <rFont val="Arial"/>
            <family val="2"/>
          </rPr>
          <t>Information from LCA of tires "Comparative LCA of treatment options for US scrap tires: material recycling and tire-derived fuel combustion" by Rebe Feraldi et al. in 2012.</t>
        </r>
        <r>
          <rPr>
            <sz val="10"/>
            <color indexed="8"/>
            <rFont val="Arial"/>
            <family val="2"/>
          </rPr>
          <t xml:space="preserve">
</t>
        </r>
      </text>
    </comment>
    <comment ref="I17" authorId="0">
      <text>
        <r>
          <rPr>
            <b/>
            <sz val="10"/>
            <color indexed="8"/>
            <rFont val="Tahoma"/>
            <family val="2"/>
          </rPr>
          <t>Microsoft Office User:</t>
        </r>
        <r>
          <rPr>
            <sz val="10"/>
            <color indexed="8"/>
            <rFont val="Tahoma"/>
            <family val="2"/>
          </rPr>
          <t xml:space="preserve">
</t>
        </r>
        <r>
          <rPr>
            <sz val="10"/>
            <color indexed="8"/>
            <rFont val="Arial"/>
            <family val="2"/>
          </rPr>
          <t xml:space="preserve">Average price of ten different tires from separate brands weighing ca 10 kg.
</t>
        </r>
      </text>
    </comment>
    <comment ref="N13" authorId="0">
      <text>
        <r>
          <rPr>
            <b/>
            <sz val="10"/>
            <color indexed="8"/>
            <rFont val="Tahoma"/>
            <family val="2"/>
          </rPr>
          <t>Microsoft Office User:</t>
        </r>
        <r>
          <rPr>
            <sz val="10"/>
            <color indexed="8"/>
            <rFont val="Tahoma"/>
            <family val="2"/>
          </rPr>
          <t xml:space="preserve">
</t>
        </r>
        <r>
          <rPr>
            <sz val="10"/>
            <color indexed="8"/>
            <rFont val="Arial"/>
            <family val="2"/>
          </rPr>
          <t>Origin country for the majority of imports in 2016 by tons of units. Data collected from, and available at, SCB.se.</t>
        </r>
        <r>
          <rPr>
            <sz val="10"/>
            <color indexed="8"/>
            <rFont val="Arial"/>
            <family val="2"/>
          </rPr>
          <t xml:space="preserve">
</t>
        </r>
      </text>
    </comment>
    <comment ref="K13"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two wheel vehicles "Life cycle assessment of two wheel vehicles" by Marianne Leuenberger et al. in 2015.
</t>
        </r>
      </text>
    </comment>
    <comment ref="I13" authorId="0">
      <text>
        <r>
          <rPr>
            <b/>
            <sz val="10"/>
            <color indexed="8"/>
            <rFont val="Tahoma"/>
            <family val="2"/>
          </rPr>
          <t>Microsoft Office User:</t>
        </r>
        <r>
          <rPr>
            <sz val="10"/>
            <color indexed="8"/>
            <rFont val="Tahoma"/>
            <family val="2"/>
          </rPr>
          <t xml:space="preserve">
</t>
        </r>
        <r>
          <rPr>
            <sz val="10"/>
            <color indexed="8"/>
            <rFont val="Arial"/>
            <family val="2"/>
          </rPr>
          <t xml:space="preserve">Average price of ten different bicycles from separate brands weighing ca 17 kg.
</t>
        </r>
      </text>
    </comment>
    <comment ref="N9"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 for the majority of imports in 2016 by tons of units. Data collected from, and available at, SCB.se.
</t>
        </r>
      </text>
    </comment>
    <comment ref="K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two wheel vehicles "Life cycle assessment of two wheel vehicles" by Marianne Leuenberger et al. in 2015.
</t>
        </r>
      </text>
    </comment>
    <comment ref="I9" authorId="0">
      <text>
        <r>
          <rPr>
            <b/>
            <sz val="10"/>
            <color indexed="8"/>
            <rFont val="Tahoma"/>
            <family val="2"/>
          </rPr>
          <t>Microsoft Office User:</t>
        </r>
        <r>
          <rPr>
            <sz val="10"/>
            <color indexed="8"/>
            <rFont val="Tahoma"/>
            <family val="2"/>
          </rPr>
          <t xml:space="preserve">
</t>
        </r>
        <r>
          <rPr>
            <sz val="10"/>
            <color indexed="8"/>
            <rFont val="Arial"/>
            <family val="2"/>
          </rPr>
          <t>Average price of ten different mopeds from separate brands weighing ca 149 kg.</t>
        </r>
        <r>
          <rPr>
            <sz val="10"/>
            <color indexed="8"/>
            <rFont val="Arial"/>
            <family val="2"/>
          </rPr>
          <t xml:space="preserve">
</t>
        </r>
      </text>
    </comment>
    <comment ref="N6" authorId="0">
      <text>
        <r>
          <rPr>
            <b/>
            <sz val="10"/>
            <color indexed="8"/>
            <rFont val="Tahoma"/>
            <family val="2"/>
          </rPr>
          <t>Microsoft Office User:</t>
        </r>
        <r>
          <rPr>
            <sz val="10"/>
            <color indexed="8"/>
            <rFont val="Tahoma"/>
            <family val="2"/>
          </rPr>
          <t xml:space="preserve">
</t>
        </r>
        <r>
          <rPr>
            <sz val="10"/>
            <color indexed="8"/>
            <rFont val="Arial"/>
            <family val="2"/>
          </rPr>
          <t>Origin country for the majority of imports in 2016 by tons of units. Data collected from, and available at, SCB.se.</t>
        </r>
        <r>
          <rPr>
            <sz val="10"/>
            <color indexed="8"/>
            <rFont val="Arial"/>
            <family val="2"/>
          </rPr>
          <t xml:space="preserve">
</t>
        </r>
      </text>
    </comment>
    <comment ref="K6"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cars "Changes in the environmental profile of a popular passenger car over the last 30 years - Results of a simplified LCA study" by Krzysztof Danilecki et al. in 2015.
</t>
        </r>
      </text>
    </comment>
    <comment ref="N5" authorId="0">
      <text>
        <r>
          <rPr>
            <b/>
            <sz val="10"/>
            <color indexed="8"/>
            <rFont val="Tahoma"/>
            <family val="2"/>
          </rPr>
          <t>Microsoft Office User:</t>
        </r>
        <r>
          <rPr>
            <sz val="10"/>
            <color indexed="8"/>
            <rFont val="Tahoma"/>
            <family val="2"/>
          </rPr>
          <t xml:space="preserve">
</t>
        </r>
        <r>
          <rPr>
            <sz val="10"/>
            <color indexed="8"/>
            <rFont val="Arial"/>
            <family val="2"/>
          </rPr>
          <t>Origin country for the majority of imports in 2016 by tons of units. Data collected from, and available at, SCB.se.</t>
        </r>
        <r>
          <rPr>
            <sz val="10"/>
            <color indexed="8"/>
            <rFont val="Arial"/>
            <family val="2"/>
          </rPr>
          <t xml:space="preserve">
</t>
        </r>
      </text>
    </comment>
    <comment ref="K5"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cars "Changes in the environmental profile of a popular passenger car over the last 30 years - Results of a simplified LCA study" by Krzysztof Danilecki et al. in 2015.
</t>
        </r>
      </text>
    </comment>
    <comment ref="A1" authorId="1">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12.xml><?xml version="1.0" encoding="utf-8"?>
<comments xmlns="http://schemas.openxmlformats.org/spreadsheetml/2006/main">
  <authors>
    <author>Annika Carlsson-Kanyama</author>
  </authors>
  <commentList>
    <comment ref="A1" authorId="0">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2.xml><?xml version="1.0" encoding="utf-8"?>
<comments xmlns="http://schemas.openxmlformats.org/spreadsheetml/2006/main">
  <authors>
    <author>Annika Carlsson-Kanyama</author>
    <author>Microsoft Office User</author>
  </authors>
  <commentList>
    <comment ref="K43" authorId="0">
      <text>
        <r>
          <rPr>
            <b/>
            <sz val="9"/>
            <color indexed="8"/>
            <rFont val="Tahoma"/>
            <family val="2"/>
          </rPr>
          <t>Annika Carlsson-Kanyama:</t>
        </r>
        <r>
          <rPr>
            <sz val="9"/>
            <color indexed="8"/>
            <rFont val="Tahoma"/>
            <family val="2"/>
          </rPr>
          <t xml:space="preserve">
</t>
        </r>
        <r>
          <rPr>
            <sz val="9"/>
            <color indexed="8"/>
            <rFont val="Tahoma"/>
            <family val="2"/>
          </rPr>
          <t xml:space="preserve">Four dresses how weighed 1.438 kg in total
</t>
        </r>
      </text>
    </comment>
    <comment ref="K46" authorId="0">
      <text>
        <r>
          <rPr>
            <b/>
            <sz val="9"/>
            <color indexed="8"/>
            <rFont val="Tahoma"/>
            <family val="2"/>
          </rPr>
          <t>Annika Carlsson-Kanyama:</t>
        </r>
        <r>
          <rPr>
            <sz val="9"/>
            <color indexed="8"/>
            <rFont val="Tahoma"/>
            <family val="2"/>
          </rPr>
          <t xml:space="preserve">
</t>
        </r>
        <r>
          <rPr>
            <sz val="9"/>
            <color indexed="8"/>
            <rFont val="Tahoma"/>
            <family val="2"/>
          </rPr>
          <t xml:space="preserve">Four skirts that weighed 1.080 kg in total
</t>
        </r>
      </text>
    </comment>
    <comment ref="K48" authorId="0">
      <text>
        <r>
          <rPr>
            <b/>
            <sz val="9"/>
            <color indexed="8"/>
            <rFont val="Tahoma"/>
            <family val="2"/>
          </rPr>
          <t>Annika Carlsson-Kanyama:</t>
        </r>
        <r>
          <rPr>
            <sz val="9"/>
            <color indexed="8"/>
            <rFont val="Tahoma"/>
            <family val="2"/>
          </rPr>
          <t xml:space="preserve">
</t>
        </r>
        <r>
          <rPr>
            <sz val="9"/>
            <color indexed="8"/>
            <rFont val="Tahoma"/>
            <family val="2"/>
          </rPr>
          <t xml:space="preserve">Two jackets that weighed 1.949 kg in total
</t>
        </r>
      </text>
    </comment>
    <comment ref="K47" authorId="0">
      <text>
        <r>
          <rPr>
            <b/>
            <sz val="9"/>
            <color indexed="8"/>
            <rFont val="Tahoma"/>
            <family val="2"/>
          </rPr>
          <t>Annika Carlsson-Kanyama:</t>
        </r>
        <r>
          <rPr>
            <sz val="9"/>
            <color indexed="8"/>
            <rFont val="Tahoma"/>
            <family val="2"/>
          </rPr>
          <t xml:space="preserve">
</t>
        </r>
        <r>
          <rPr>
            <sz val="9"/>
            <color indexed="8"/>
            <rFont val="Tahoma"/>
            <family val="2"/>
          </rPr>
          <t xml:space="preserve">Four pants that weighed  1.71 kg in total
</t>
        </r>
      </text>
    </comment>
    <comment ref="K49" authorId="0">
      <text>
        <r>
          <rPr>
            <b/>
            <sz val="9"/>
            <color indexed="8"/>
            <rFont val="Tahoma"/>
            <family val="2"/>
          </rPr>
          <t>Annika Carlsson-Kanyama:Four items</t>
        </r>
        <r>
          <rPr>
            <sz val="9"/>
            <color indexed="8"/>
            <rFont val="Tahoma"/>
            <family val="2"/>
          </rPr>
          <t xml:space="preserve"> that weighed 0.852 kg in total. Tow bathing suits, one sport to and one pair of sport pants
</t>
        </r>
      </text>
    </comment>
    <comment ref="K51" authorId="0">
      <text>
        <r>
          <rPr>
            <b/>
            <sz val="9"/>
            <color indexed="8"/>
            <rFont val="Tahoma"/>
            <family val="2"/>
          </rPr>
          <t>Annika Carlsson-Kanyama:Four blouses</t>
        </r>
        <r>
          <rPr>
            <sz val="9"/>
            <color indexed="8"/>
            <rFont val="Tahoma"/>
            <family val="2"/>
          </rPr>
          <t xml:space="preserve"> that weighed 0.752 kg in total. </t>
        </r>
      </text>
    </comment>
    <comment ref="K53" authorId="0">
      <text>
        <r>
          <rPr>
            <b/>
            <sz val="9"/>
            <color indexed="8"/>
            <rFont val="Tahoma"/>
            <family val="2"/>
          </rPr>
          <t>Annika Carlsson-Kanyama:Four items</t>
        </r>
        <r>
          <rPr>
            <sz val="9"/>
            <color indexed="8"/>
            <rFont val="Tahoma"/>
            <family val="2"/>
          </rPr>
          <t xml:space="preserve"> that weighed 0.889 kg in total. </t>
        </r>
      </text>
    </comment>
    <comment ref="K54" authorId="0">
      <text>
        <r>
          <rPr>
            <b/>
            <sz val="9"/>
            <color indexed="8"/>
            <rFont val="Tahoma"/>
            <family val="2"/>
          </rPr>
          <t>Annika Carlsson-Kanyama:Seven items</t>
        </r>
        <r>
          <rPr>
            <sz val="9"/>
            <color indexed="8"/>
            <rFont val="Tahoma"/>
            <family val="2"/>
          </rPr>
          <t xml:space="preserve"> that weighed 0.367 kg in total. </t>
        </r>
      </text>
    </comment>
    <comment ref="L15" authorId="1">
      <text>
        <r>
          <rPr>
            <b/>
            <sz val="10"/>
            <color indexed="8"/>
            <rFont val="Tahoma"/>
            <family val="2"/>
          </rPr>
          <t>Microsoft Office User:</t>
        </r>
        <r>
          <rPr>
            <sz val="10"/>
            <color indexed="8"/>
            <rFont val="Tahoma"/>
            <family val="2"/>
          </rPr>
          <t xml:space="preserve">
</t>
        </r>
        <r>
          <rPr>
            <sz val="10"/>
            <color indexed="8"/>
            <rFont val="Tahoma"/>
            <family val="2"/>
          </rPr>
          <t>Average garment weight, including fabric losses during production, and average weight per fibre type, including losses during production.</t>
        </r>
      </text>
    </comment>
    <comment ref="M15" authorId="1">
      <text>
        <r>
          <rPr>
            <b/>
            <sz val="10"/>
            <color indexed="8"/>
            <rFont val="Tahoma"/>
            <family val="2"/>
          </rPr>
          <t>Microsoft Office User:</t>
        </r>
        <r>
          <rPr>
            <sz val="10"/>
            <color indexed="8"/>
            <rFont val="Tahoma"/>
            <family val="2"/>
          </rPr>
          <t xml:space="preserve">
</t>
        </r>
        <r>
          <rPr>
            <sz val="10"/>
            <color indexed="8"/>
            <rFont val="Tahoma"/>
            <family val="2"/>
          </rPr>
          <t>Total amount of fabric and fibres, disaggregated by fibre type, required to produce one kg of garments.</t>
        </r>
      </text>
    </comment>
    <comment ref="M16"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20"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21"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22"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23"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43"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46"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47"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48"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49"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51"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53"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54"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55"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79"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82"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85"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86"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88"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L16"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20"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21"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22"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23" authorId="1">
      <text>
        <r>
          <rPr>
            <b/>
            <sz val="10"/>
            <color indexed="8"/>
            <rFont val="Tahoma"/>
            <family val="2"/>
          </rPr>
          <t>Microsoft Office User:</t>
        </r>
        <r>
          <rPr>
            <sz val="10"/>
            <color indexed="8"/>
            <rFont val="Tahoma"/>
            <family val="2"/>
          </rPr>
          <t xml:space="preserve">
</t>
        </r>
        <r>
          <rPr>
            <sz val="10"/>
            <color indexed="8"/>
            <rFont val="Arial"/>
            <family val="2"/>
          </rPr>
          <t>Average garment weight, including fabric losses during production, and average weight per fibre type, including losses during production.</t>
        </r>
        <r>
          <rPr>
            <sz val="10"/>
            <color indexed="8"/>
            <rFont val="Arial"/>
            <family val="2"/>
          </rPr>
          <t xml:space="preserve">
</t>
        </r>
      </text>
    </comment>
    <comment ref="L43"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46"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47"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48"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49"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51"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53"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54"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55"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79"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82"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85"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86"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88"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143" authorId="1">
      <text>
        <r>
          <rPr>
            <b/>
            <sz val="10"/>
            <color indexed="8"/>
            <rFont val="Tahoma"/>
            <family val="2"/>
          </rPr>
          <t>Microsoft Office User:</t>
        </r>
        <r>
          <rPr>
            <sz val="10"/>
            <color indexed="8"/>
            <rFont val="Tahoma"/>
            <family val="2"/>
          </rPr>
          <t xml:space="preserve">
</t>
        </r>
        <r>
          <rPr>
            <sz val="10"/>
            <color indexed="8"/>
            <rFont val="Arial"/>
            <family val="2"/>
          </rPr>
          <t xml:space="preserve">Average weight per pair, including fabric losses during production, and average weight per fibre type, including losses during production. Information on the contents of the shoes obtained by disassembling two different pairs.
</t>
        </r>
      </text>
    </comment>
    <comment ref="L150" authorId="1">
      <text>
        <r>
          <rPr>
            <b/>
            <sz val="10"/>
            <color indexed="8"/>
            <rFont val="Tahoma"/>
            <family val="2"/>
          </rPr>
          <t>Microsoft Office User:</t>
        </r>
        <r>
          <rPr>
            <sz val="10"/>
            <color indexed="8"/>
            <rFont val="Tahoma"/>
            <family val="2"/>
          </rPr>
          <t xml:space="preserve">
</t>
        </r>
        <r>
          <rPr>
            <sz val="10"/>
            <color indexed="8"/>
            <rFont val="Arial"/>
            <family val="2"/>
          </rPr>
          <t xml:space="preserve">Average weight per pair, including fabric losses during production, and average weight per fibre type, including losses during production. Information on the contents of the shoes obtained by disassembling two different pairs  </t>
        </r>
      </text>
    </comment>
    <comment ref="L157" authorId="1">
      <text>
        <r>
          <rPr>
            <b/>
            <sz val="10"/>
            <color indexed="8"/>
            <rFont val="Tahoma"/>
            <family val="2"/>
          </rPr>
          <t>Microsoft Office User:</t>
        </r>
        <r>
          <rPr>
            <sz val="10"/>
            <color indexed="8"/>
            <rFont val="Tahoma"/>
            <family val="2"/>
          </rPr>
          <t xml:space="preserve">
</t>
        </r>
        <r>
          <rPr>
            <sz val="10"/>
            <color indexed="8"/>
            <rFont val="Arial"/>
            <family val="2"/>
          </rPr>
          <t>Average weight per pair, including fabric losses during production, and average weight per fibre type, including losses during production. Information on the contents of the shoes obtained by disassembling two different pairs.</t>
        </r>
      </text>
    </comment>
    <comment ref="M143"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materials and fibres, disaggregated by fibre type, required to produce one kg of product.
</t>
        </r>
      </text>
    </comment>
    <comment ref="M150" authorId="1">
      <text>
        <r>
          <rPr>
            <b/>
            <sz val="10"/>
            <color indexed="8"/>
            <rFont val="Tahoma"/>
            <family val="2"/>
          </rPr>
          <t>Microsoft Office User:</t>
        </r>
        <r>
          <rPr>
            <sz val="10"/>
            <color indexed="8"/>
            <rFont val="Tahoma"/>
            <family val="2"/>
          </rPr>
          <t xml:space="preserve">
</t>
        </r>
        <r>
          <rPr>
            <sz val="10"/>
            <color indexed="8"/>
            <rFont val="Arial"/>
            <family val="2"/>
          </rPr>
          <t>Total amount of materials and fibres, disaggregated by fibre type, required to produce one kg of product.</t>
        </r>
        <r>
          <rPr>
            <sz val="10"/>
            <color indexed="8"/>
            <rFont val="Arial"/>
            <family val="2"/>
          </rPr>
          <t xml:space="preserve">
</t>
        </r>
      </text>
    </comment>
    <comment ref="M157"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materials and fibres, disaggregated by fibre type, required to produce one kg of product.
</t>
        </r>
      </text>
    </comment>
    <comment ref="P157" authorId="1">
      <text>
        <r>
          <rPr>
            <b/>
            <sz val="10"/>
            <color indexed="8"/>
            <rFont val="Tahoma"/>
            <family val="2"/>
          </rPr>
          <t>Microsoft Office User:</t>
        </r>
        <r>
          <rPr>
            <sz val="10"/>
            <color indexed="8"/>
            <rFont val="Tahoma"/>
            <family val="2"/>
          </rPr>
          <t xml:space="preserve">
</t>
        </r>
        <r>
          <rPr>
            <sz val="10"/>
            <color indexed="8"/>
            <rFont val="Tahoma"/>
            <family val="2"/>
          </rPr>
          <t>Packaging material weight.</t>
        </r>
      </text>
    </comment>
    <comment ref="P150" authorId="1">
      <text>
        <r>
          <rPr>
            <b/>
            <sz val="10"/>
            <color indexed="8"/>
            <rFont val="Tahoma"/>
            <family val="2"/>
          </rPr>
          <t>Microsoft Office User:</t>
        </r>
        <r>
          <rPr>
            <sz val="10"/>
            <color indexed="8"/>
            <rFont val="Tahoma"/>
            <family val="2"/>
          </rPr>
          <t xml:space="preserve">
</t>
        </r>
        <r>
          <rPr>
            <sz val="10"/>
            <color indexed="8"/>
            <rFont val="Arial"/>
            <family val="2"/>
          </rPr>
          <t xml:space="preserve">Packaging material weight.
</t>
        </r>
      </text>
    </comment>
    <comment ref="P143" authorId="1">
      <text>
        <r>
          <rPr>
            <b/>
            <sz val="10"/>
            <color indexed="8"/>
            <rFont val="Tahoma"/>
            <family val="2"/>
          </rPr>
          <t>Microsoft Office User:</t>
        </r>
        <r>
          <rPr>
            <sz val="10"/>
            <color indexed="8"/>
            <rFont val="Tahoma"/>
            <family val="2"/>
          </rPr>
          <t xml:space="preserve">
</t>
        </r>
        <r>
          <rPr>
            <sz val="10"/>
            <color indexed="8"/>
            <rFont val="Arial"/>
            <family val="2"/>
          </rPr>
          <t xml:space="preserve">Packaging material weight.
</t>
        </r>
      </text>
    </comment>
    <comment ref="Q157" authorId="1">
      <text>
        <r>
          <rPr>
            <b/>
            <sz val="10"/>
            <color indexed="8"/>
            <rFont val="Tahoma"/>
            <family val="2"/>
          </rPr>
          <t>Microsoft Office User:</t>
        </r>
        <r>
          <rPr>
            <sz val="10"/>
            <color indexed="8"/>
            <rFont val="Tahoma"/>
            <family val="2"/>
          </rPr>
          <t xml:space="preserve">
</t>
        </r>
        <r>
          <rPr>
            <sz val="10"/>
            <color indexed="8"/>
            <rFont val="Tahoma"/>
            <family val="2"/>
          </rPr>
          <t>Packaging material weight per kg product.</t>
        </r>
      </text>
    </comment>
    <comment ref="Q150" authorId="1">
      <text>
        <r>
          <rPr>
            <b/>
            <sz val="10"/>
            <color indexed="8"/>
            <rFont val="Tahoma"/>
            <family val="2"/>
          </rPr>
          <t>Microsoft Office User:</t>
        </r>
        <r>
          <rPr>
            <sz val="10"/>
            <color indexed="8"/>
            <rFont val="Tahoma"/>
            <family val="2"/>
          </rPr>
          <t xml:space="preserve">
</t>
        </r>
        <r>
          <rPr>
            <sz val="10"/>
            <color indexed="8"/>
            <rFont val="Arial"/>
            <family val="2"/>
          </rPr>
          <t xml:space="preserve">Packaging material weight per kg product.
</t>
        </r>
      </text>
    </comment>
    <comment ref="Q143" authorId="1">
      <text>
        <r>
          <rPr>
            <b/>
            <sz val="10"/>
            <color indexed="8"/>
            <rFont val="Tahoma"/>
            <family val="2"/>
          </rPr>
          <t>Microsoft Office User:</t>
        </r>
        <r>
          <rPr>
            <sz val="10"/>
            <color indexed="8"/>
            <rFont val="Tahoma"/>
            <family val="2"/>
          </rPr>
          <t xml:space="preserve">
</t>
        </r>
        <r>
          <rPr>
            <sz val="10"/>
            <color indexed="8"/>
            <rFont val="Arial"/>
            <family val="2"/>
          </rPr>
          <t xml:space="preserve">Packaging material weight per kg product.
</t>
        </r>
      </text>
    </comment>
    <comment ref="K143" authorId="1">
      <text>
        <r>
          <rPr>
            <b/>
            <sz val="10"/>
            <color indexed="8"/>
            <rFont val="Tahoma"/>
            <family val="2"/>
          </rPr>
          <t>Microsoft Office User:</t>
        </r>
        <r>
          <rPr>
            <sz val="10"/>
            <color indexed="8"/>
            <rFont val="Tahoma"/>
            <family val="2"/>
          </rPr>
          <t xml:space="preserve">
</t>
        </r>
        <r>
          <rPr>
            <sz val="10"/>
            <color indexed="8"/>
            <rFont val="Tahoma"/>
            <family val="2"/>
          </rPr>
          <t>Two pairs of mens shoes that weighed 1778g in total.</t>
        </r>
      </text>
    </comment>
    <comment ref="K150" authorId="1">
      <text>
        <r>
          <rPr>
            <b/>
            <sz val="10"/>
            <color indexed="8"/>
            <rFont val="Tahoma"/>
            <family val="2"/>
          </rPr>
          <t>Microsoft Office User:</t>
        </r>
        <r>
          <rPr>
            <sz val="10"/>
            <color indexed="8"/>
            <rFont val="Tahoma"/>
            <family val="2"/>
          </rPr>
          <t xml:space="preserve">
</t>
        </r>
        <r>
          <rPr>
            <sz val="10"/>
            <color indexed="8"/>
            <rFont val="Tahoma"/>
            <family val="2"/>
          </rPr>
          <t>Two pairs of womens shoes that weighed 710g in total.</t>
        </r>
      </text>
    </comment>
    <comment ref="K157" authorId="1">
      <text>
        <r>
          <rPr>
            <b/>
            <sz val="10"/>
            <color indexed="8"/>
            <rFont val="Tahoma"/>
            <family val="2"/>
          </rPr>
          <t>Microsoft Office User:</t>
        </r>
        <r>
          <rPr>
            <sz val="10"/>
            <color indexed="8"/>
            <rFont val="Tahoma"/>
            <family val="2"/>
          </rPr>
          <t xml:space="preserve">
</t>
        </r>
        <r>
          <rPr>
            <sz val="10"/>
            <color indexed="8"/>
            <rFont val="Tahoma"/>
            <family val="2"/>
          </rPr>
          <t>Two pairs of childrens shoes that weighed 372g in total.</t>
        </r>
      </text>
    </comment>
    <comment ref="N1" authorId="1">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text>
    </comment>
    <comment ref="K20" authorId="1">
      <text>
        <r>
          <rPr>
            <b/>
            <sz val="10"/>
            <color indexed="8"/>
            <rFont val="Tahoma"/>
            <family val="2"/>
          </rPr>
          <t>Microsoft Office User:</t>
        </r>
        <r>
          <rPr>
            <sz val="10"/>
            <color indexed="8"/>
            <rFont val="Tahoma"/>
            <family val="2"/>
          </rPr>
          <t xml:space="preserve">
</t>
        </r>
        <r>
          <rPr>
            <sz val="10"/>
            <color indexed="8"/>
            <rFont val="Tahoma"/>
            <family val="2"/>
          </rPr>
          <t>Average weight of four different shirts.</t>
        </r>
      </text>
    </comment>
    <comment ref="K21" authorId="1">
      <text>
        <r>
          <rPr>
            <b/>
            <sz val="10"/>
            <color indexed="8"/>
            <rFont val="Tahoma"/>
            <family val="2"/>
          </rPr>
          <t>Microsoft Office User:</t>
        </r>
        <r>
          <rPr>
            <sz val="10"/>
            <color indexed="8"/>
            <rFont val="Tahoma"/>
            <family val="2"/>
          </rPr>
          <t xml:space="preserve">
</t>
        </r>
        <r>
          <rPr>
            <sz val="10"/>
            <color indexed="8"/>
            <rFont val="Tahoma"/>
            <family val="2"/>
          </rPr>
          <t>Average weight of four different t-shirts.</t>
        </r>
      </text>
    </comment>
    <comment ref="K22" authorId="1">
      <text>
        <r>
          <rPr>
            <b/>
            <sz val="10"/>
            <color indexed="8"/>
            <rFont val="Tahoma"/>
            <family val="2"/>
          </rPr>
          <t>Microsoft Office User:</t>
        </r>
        <r>
          <rPr>
            <sz val="10"/>
            <color indexed="8"/>
            <rFont val="Tahoma"/>
            <family val="2"/>
          </rPr>
          <t xml:space="preserve">
</t>
        </r>
        <r>
          <rPr>
            <sz val="10"/>
            <color indexed="8"/>
            <rFont val="Tahoma"/>
            <family val="2"/>
          </rPr>
          <t>Average weight of four different pairs of socks.</t>
        </r>
      </text>
    </comment>
    <comment ref="K23"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pairs of jeans.</t>
        </r>
      </text>
    </comment>
    <comment ref="K15"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pairs of trousers.</t>
        </r>
      </text>
    </comment>
    <comment ref="K16"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jackets.</t>
        </r>
      </text>
    </comment>
    <comment ref="K79"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pairs of pants.</t>
        </r>
      </text>
    </comment>
    <comment ref="K85"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sweatshirts.</t>
        </r>
      </text>
    </comment>
    <comment ref="K86" authorId="1">
      <text>
        <r>
          <rPr>
            <b/>
            <sz val="10"/>
            <color indexed="8"/>
            <rFont val="Tahoma"/>
            <family val="2"/>
          </rPr>
          <t>Microsoft Office User:</t>
        </r>
        <r>
          <rPr>
            <sz val="10"/>
            <color indexed="8"/>
            <rFont val="Tahoma"/>
            <family val="2"/>
          </rPr>
          <t xml:space="preserve">
</t>
        </r>
        <r>
          <rPr>
            <sz val="10"/>
            <color indexed="8"/>
            <rFont val="Tahoma"/>
            <family val="2"/>
          </rPr>
          <t>Average weight of four different pairs of socks.</t>
        </r>
      </text>
    </comment>
    <comment ref="K82"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sets of childrens pyjamas.</t>
        </r>
      </text>
    </comment>
    <comment ref="K126"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scarves.</t>
        </r>
      </text>
    </comment>
    <comment ref="K125"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hats.</t>
        </r>
      </text>
    </comment>
    <comment ref="K129"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belts.</t>
        </r>
      </text>
    </comment>
    <comment ref="L125" authorId="1">
      <text>
        <r>
          <rPr>
            <b/>
            <sz val="10"/>
            <color indexed="8"/>
            <rFont val="Tahoma"/>
            <family val="2"/>
          </rPr>
          <t>Microsoft Office User:</t>
        </r>
        <r>
          <rPr>
            <sz val="10"/>
            <color indexed="8"/>
            <rFont val="Tahoma"/>
            <family val="2"/>
          </rPr>
          <t xml:space="preserve">
</t>
        </r>
        <r>
          <rPr>
            <sz val="10"/>
            <color indexed="8"/>
            <rFont val="Arial"/>
            <family val="2"/>
          </rPr>
          <t>Average garment weight, including fabric losses during production, and average weight per fibre type, including losses during production.</t>
        </r>
        <r>
          <rPr>
            <sz val="10"/>
            <color indexed="8"/>
            <rFont val="Arial"/>
            <family val="2"/>
          </rPr>
          <t xml:space="preserve">
</t>
        </r>
      </text>
    </comment>
    <comment ref="L126"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L129" authorId="1">
      <text>
        <r>
          <rPr>
            <b/>
            <sz val="10"/>
            <color indexed="8"/>
            <rFont val="Tahoma"/>
            <family val="2"/>
          </rPr>
          <t>Microsoft Office User:</t>
        </r>
        <r>
          <rPr>
            <sz val="10"/>
            <color indexed="8"/>
            <rFont val="Tahoma"/>
            <family val="2"/>
          </rPr>
          <t xml:space="preserve">
</t>
        </r>
        <r>
          <rPr>
            <sz val="10"/>
            <color indexed="8"/>
            <rFont val="Arial"/>
            <family val="2"/>
          </rPr>
          <t xml:space="preserve">Average garment weight, including fabric losses during production, and average weight per fibre type, including losses during production.
</t>
        </r>
      </text>
    </comment>
    <comment ref="M125" authorId="1">
      <text>
        <r>
          <rPr>
            <b/>
            <sz val="10"/>
            <color indexed="8"/>
            <rFont val="Tahoma"/>
            <family val="2"/>
          </rPr>
          <t>Microsoft Office User:</t>
        </r>
        <r>
          <rPr>
            <sz val="10"/>
            <color indexed="8"/>
            <rFont val="Tahoma"/>
            <family val="2"/>
          </rPr>
          <t xml:space="preserve">
</t>
        </r>
        <r>
          <rPr>
            <sz val="10"/>
            <color indexed="8"/>
            <rFont val="Arial"/>
            <family val="2"/>
          </rPr>
          <t>Total amount of fabric and fibres, disaggregated by fibre type, required to produce one kg of garments.</t>
        </r>
        <r>
          <rPr>
            <sz val="10"/>
            <color indexed="8"/>
            <rFont val="Arial"/>
            <family val="2"/>
          </rPr>
          <t xml:space="preserve">
</t>
        </r>
      </text>
    </comment>
    <comment ref="M126"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M129" authorId="1">
      <text>
        <r>
          <rPr>
            <b/>
            <sz val="10"/>
            <color indexed="8"/>
            <rFont val="Tahoma"/>
            <family val="2"/>
          </rPr>
          <t>Microsoft Office User:</t>
        </r>
        <r>
          <rPr>
            <sz val="10"/>
            <color indexed="8"/>
            <rFont val="Tahoma"/>
            <family val="2"/>
          </rPr>
          <t xml:space="preserve">
</t>
        </r>
        <r>
          <rPr>
            <sz val="10"/>
            <color indexed="8"/>
            <rFont val="Arial"/>
            <family val="2"/>
          </rPr>
          <t xml:space="preserve">Total amount of fabric and fibres, disaggregated by fibre type, required to produce one kg of garments.
</t>
        </r>
      </text>
    </comment>
    <comment ref="K88" authorId="1">
      <text>
        <r>
          <rPr>
            <b/>
            <sz val="10"/>
            <color indexed="8"/>
            <rFont val="Tahoma"/>
            <family val="2"/>
          </rPr>
          <t>Microsoft Office User:</t>
        </r>
        <r>
          <rPr>
            <sz val="10"/>
            <color indexed="8"/>
            <rFont val="Tahoma"/>
            <family val="2"/>
          </rPr>
          <t xml:space="preserve">
</t>
        </r>
        <r>
          <rPr>
            <sz val="10"/>
            <color indexed="8"/>
            <rFont val="Tahoma"/>
            <family val="2"/>
          </rPr>
          <t>Average weight of two different sets of baby-onesies.</t>
        </r>
      </text>
    </comment>
    <comment ref="I1" authorId="0">
      <text>
        <r>
          <rPr>
            <b/>
            <sz val="9"/>
            <rFont val="Tahoma"/>
            <family val="2"/>
          </rPr>
          <t>Annika Carlsson-Kanyama:</t>
        </r>
        <r>
          <rPr>
            <sz val="9"/>
            <rFont val="Tahoma"/>
            <family val="2"/>
          </rPr>
          <t xml:space="preserve">
All prices in here were collected in different shops in Sockholm during 2018.</t>
        </r>
      </text>
    </comment>
    <comment ref="K1" authorId="0">
      <text>
        <r>
          <rPr>
            <b/>
            <sz val="9"/>
            <rFont val="Tahoma"/>
            <family val="2"/>
          </rPr>
          <t>Annika Carlsson-Kanyama:</t>
        </r>
        <r>
          <rPr>
            <sz val="9"/>
            <rFont val="Tahoma"/>
            <family val="2"/>
          </rPr>
          <t xml:space="preserve">
The weight of products were collected by weighing a number of items found the the homes of Duner and Carlsson Kanyama.</t>
        </r>
      </text>
    </comment>
    <comment ref="O1" authorId="0">
      <text>
        <r>
          <rPr>
            <b/>
            <sz val="9"/>
            <rFont val="Tahoma"/>
            <family val="2"/>
          </rPr>
          <t>Annika Carlsson-Kanyama:</t>
        </r>
        <r>
          <rPr>
            <sz val="9"/>
            <rFont val="Tahoma"/>
            <family val="2"/>
          </rPr>
          <t xml:space="preserve">
Clothes are nomally sold without packaging.</t>
        </r>
      </text>
    </comment>
    <comment ref="H169" authorId="0">
      <text>
        <r>
          <rPr>
            <b/>
            <sz val="9"/>
            <rFont val="Tahoma"/>
            <family val="2"/>
          </rPr>
          <t>Annika Carlsson-Kanyama:</t>
        </r>
        <r>
          <rPr>
            <sz val="9"/>
            <rFont val="Tahoma"/>
            <family val="2"/>
          </rPr>
          <t xml:space="preserve">
10% of the price for a new product according to Nohas survey</t>
        </r>
      </text>
    </comment>
    <comment ref="N185" authorId="1">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text>
    </comment>
    <comment ref="O185" authorId="0">
      <text>
        <r>
          <rPr>
            <b/>
            <sz val="9"/>
            <rFont val="Tahoma"/>
            <family val="2"/>
          </rPr>
          <t>Annika Carlsson-Kanyama:</t>
        </r>
        <r>
          <rPr>
            <sz val="9"/>
            <rFont val="Tahoma"/>
            <family val="2"/>
          </rPr>
          <t xml:space="preserve">
Clothes are nomally sold without packaging.</t>
        </r>
      </text>
    </comment>
    <comment ref="A1" authorId="0">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4.xml><?xml version="1.0" encoding="utf-8"?>
<comments xmlns="http://schemas.openxmlformats.org/spreadsheetml/2006/main">
  <authors>
    <author>Microsoft Office User</author>
    <author>Annika Carlsson-Kanyama</author>
  </authors>
  <commentList>
    <comment ref="H1" authorId="0">
      <text>
        <r>
          <rPr>
            <b/>
            <sz val="10"/>
            <color indexed="8"/>
            <rFont val="Tahoma"/>
            <family val="2"/>
          </rPr>
          <t>Microsoft Office User:</t>
        </r>
        <r>
          <rPr>
            <sz val="10"/>
            <color indexed="8"/>
            <rFont val="Tahoma"/>
            <family val="2"/>
          </rPr>
          <t xml:space="preserve">
</t>
        </r>
        <r>
          <rPr>
            <sz val="10"/>
            <color indexed="8"/>
            <rFont val="Tahoma"/>
            <family val="2"/>
          </rPr>
          <t>Consumer prices, for specific goods, in 2016 are estimated using CPI for goods and services as divided according to COICOP.</t>
        </r>
      </text>
    </comment>
    <comment ref="O1" authorId="1">
      <text>
        <r>
          <rPr>
            <b/>
            <sz val="9"/>
            <rFont val="Tahoma"/>
            <family val="2"/>
          </rPr>
          <t>Annika Carlsson-Kanyama:</t>
        </r>
        <r>
          <rPr>
            <sz val="9"/>
            <rFont val="Tahoma"/>
            <family val="2"/>
          </rPr>
          <t xml:space="preserve">
If not specified in other ways all information about packaging has been obtained by weighing
</t>
        </r>
      </text>
    </comment>
    <comment ref="R1" authorId="1">
      <text>
        <r>
          <rPr>
            <b/>
            <sz val="9"/>
            <rFont val="Tahoma"/>
            <family val="2"/>
          </rPr>
          <t>Annika Carlsson-Kanyama:</t>
        </r>
        <r>
          <rPr>
            <sz val="9"/>
            <rFont val="Tahoma"/>
            <family val="2"/>
          </rPr>
          <t xml:space="preserve">
From the place of production to the retailer in Sweden</t>
        </r>
      </text>
    </comment>
    <comment ref="I6" authorId="0">
      <text>
        <r>
          <rPr>
            <b/>
            <sz val="10"/>
            <color indexed="8"/>
            <rFont val="Tahoma"/>
            <family val="2"/>
          </rPr>
          <t>Microsoft Office User:</t>
        </r>
        <r>
          <rPr>
            <sz val="10"/>
            <color indexed="8"/>
            <rFont val="Tahoma"/>
            <family val="2"/>
          </rPr>
          <t xml:space="preserve">
</t>
        </r>
        <r>
          <rPr>
            <sz val="10"/>
            <color indexed="8"/>
            <rFont val="Tahoma"/>
            <family val="2"/>
          </rPr>
          <t>Price collected at COOP in april 2019.</t>
        </r>
      </text>
    </comment>
    <comment ref="L6" authorId="1">
      <text>
        <r>
          <rPr>
            <b/>
            <sz val="9"/>
            <rFont val="Tahoma"/>
            <family val="2"/>
          </rPr>
          <t>Annika Carlsson-Kanyama:</t>
        </r>
        <r>
          <rPr>
            <sz val="9"/>
            <rFont val="Tahoma"/>
            <family val="2"/>
          </rPr>
          <t xml:space="preserve">
According to FAO, 14 % is lost in te milling phase inculding drying. http://www.fao.org/3/x5427e/x5427e0h.htm on the 22.5 2019.</t>
        </r>
      </text>
    </comment>
    <comment ref="N6" authorId="1">
      <text>
        <r>
          <rPr>
            <b/>
            <sz val="9"/>
            <rFont val="Tahoma"/>
            <family val="2"/>
          </rPr>
          <t>Annika Carlsson-Kanyama:</t>
        </r>
        <r>
          <rPr>
            <sz val="9"/>
            <rFont val="Tahoma"/>
            <family val="2"/>
          </rPr>
          <t xml:space="preserve">
As indicated on the packaging</t>
        </r>
      </text>
    </comment>
    <comment ref="O6" authorId="1">
      <text>
        <r>
          <rPr>
            <b/>
            <sz val="9"/>
            <rFont val="Tahoma"/>
            <family val="2"/>
          </rPr>
          <t>Annika Carlsson-Kanyama:</t>
        </r>
        <r>
          <rPr>
            <sz val="9"/>
            <rFont val="Tahoma"/>
            <family val="2"/>
          </rPr>
          <t xml:space="preserve">
Weighed at home</t>
        </r>
      </text>
    </comment>
    <comment ref="I12" authorId="0">
      <text>
        <r>
          <rPr>
            <b/>
            <sz val="10"/>
            <color indexed="8"/>
            <rFont val="Tahoma"/>
            <family val="2"/>
          </rPr>
          <t>Microsoft Office User:</t>
        </r>
        <r>
          <rPr>
            <sz val="10"/>
            <color indexed="8"/>
            <rFont val="Tahoma"/>
            <family val="2"/>
          </rPr>
          <t xml:space="preserve">
</t>
        </r>
        <r>
          <rPr>
            <sz val="10"/>
            <color indexed="8"/>
            <rFont val="Tahoma"/>
            <family val="2"/>
          </rPr>
          <t>Price collected at COOP in april 2019.</t>
        </r>
      </text>
    </comment>
    <comment ref="K12" authorId="1">
      <text>
        <r>
          <rPr>
            <b/>
            <sz val="9"/>
            <rFont val="Tahoma"/>
            <family val="2"/>
          </rPr>
          <t>Annika Carlsson-Kanyama:</t>
        </r>
        <r>
          <rPr>
            <sz val="9"/>
            <rFont val="Tahoma"/>
            <family val="2"/>
          </rPr>
          <t xml:space="preserve">
According to http://www.bageri.se/media/47150/yrkesrakning.pdf te baking losses are between 6 and 12 %, here we have assumed 9 %.</t>
        </r>
      </text>
    </comment>
    <comment ref="N12" authorId="1">
      <text>
        <r>
          <rPr>
            <b/>
            <sz val="9"/>
            <rFont val="Tahoma"/>
            <family val="2"/>
          </rPr>
          <t>Annika Carlsson-Kanyama:</t>
        </r>
        <r>
          <rPr>
            <sz val="9"/>
            <rFont val="Tahoma"/>
            <family val="2"/>
          </rPr>
          <t xml:space="preserve">
According to Pågen 22.4 2019.
</t>
        </r>
      </text>
    </comment>
    <comment ref="I17"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L17" authorId="0">
      <text>
        <r>
          <rPr>
            <b/>
            <sz val="10"/>
            <color indexed="8"/>
            <rFont val="Tahoma"/>
            <family val="2"/>
          </rPr>
          <t>Microsoft Office User:</t>
        </r>
        <r>
          <rPr>
            <sz val="10"/>
            <color indexed="8"/>
            <rFont val="Tahoma"/>
            <family val="2"/>
          </rPr>
          <t xml:space="preserve">
</t>
        </r>
        <r>
          <rPr>
            <sz val="10"/>
            <color indexed="8"/>
            <rFont val="Tahoma"/>
            <family val="2"/>
          </rPr>
          <t>Information from Barilla via mail, april 2019.</t>
        </r>
      </text>
    </comment>
    <comment ref="N17" authorId="1">
      <text>
        <r>
          <rPr>
            <b/>
            <sz val="9"/>
            <rFont val="Tahoma"/>
            <family val="2"/>
          </rPr>
          <t>Annika Carlsson-Kanyama:</t>
        </r>
        <r>
          <rPr>
            <sz val="9"/>
            <rFont val="Tahoma"/>
            <family val="2"/>
          </rPr>
          <t xml:space="preserve">
According to the packaging and homepage</t>
        </r>
      </text>
    </comment>
    <comment ref="P17"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18" authorId="0">
      <text>
        <r>
          <rPr>
            <b/>
            <sz val="10"/>
            <color indexed="8"/>
            <rFont val="Tahoma"/>
            <family val="2"/>
          </rPr>
          <t>Microsoft Office User:</t>
        </r>
        <r>
          <rPr>
            <sz val="10"/>
            <color indexed="8"/>
            <rFont val="Tahoma"/>
            <family val="2"/>
          </rPr>
          <t xml:space="preserve">
</t>
        </r>
        <r>
          <rPr>
            <sz val="10"/>
            <color indexed="8"/>
            <rFont val="Tahoma"/>
            <family val="2"/>
          </rPr>
          <t>Price collected at ICA in april 2019.</t>
        </r>
      </text>
    </comment>
    <comment ref="K18" authorId="1">
      <text>
        <r>
          <rPr>
            <b/>
            <sz val="9"/>
            <rFont val="Tahoma"/>
            <family val="2"/>
          </rPr>
          <t>Annika Carlsson-Kanyama:</t>
        </r>
        <r>
          <rPr>
            <sz val="9"/>
            <rFont val="Tahoma"/>
            <family val="2"/>
          </rPr>
          <t xml:space="preserve">
Information from ICA in May 2019</t>
        </r>
      </text>
    </comment>
    <comment ref="P18"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20" authorId="0">
      <text>
        <r>
          <rPr>
            <b/>
            <sz val="10"/>
            <color indexed="8"/>
            <rFont val="Tahoma"/>
            <family val="2"/>
          </rPr>
          <t>Microsoft Office User:</t>
        </r>
        <r>
          <rPr>
            <sz val="10"/>
            <color indexed="8"/>
            <rFont val="Tahoma"/>
            <family val="2"/>
          </rPr>
          <t xml:space="preserve">
</t>
        </r>
        <r>
          <rPr>
            <sz val="10"/>
            <color indexed="8"/>
            <rFont val="Tahoma"/>
            <family val="2"/>
          </rPr>
          <t>Price collected at ICA in april 2019.</t>
        </r>
      </text>
    </comment>
    <comment ref="K20" authorId="1">
      <text>
        <r>
          <rPr>
            <b/>
            <sz val="9"/>
            <rFont val="Tahoma"/>
            <family val="2"/>
          </rPr>
          <t>Annika Carlsson-Kanyama:</t>
        </r>
        <r>
          <rPr>
            <sz val="9"/>
            <rFont val="Tahoma"/>
            <family val="2"/>
          </rPr>
          <t xml:space="preserve">
Information from ICA in May 2019</t>
        </r>
      </text>
    </comment>
    <comment ref="P20"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23"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K23" authorId="1">
      <text>
        <r>
          <rPr>
            <b/>
            <sz val="9"/>
            <rFont val="Tahoma"/>
            <family val="2"/>
          </rPr>
          <t>Annika Carlsson-Kanyama:</t>
        </r>
        <r>
          <rPr>
            <sz val="9"/>
            <rFont val="Tahoma"/>
            <family val="2"/>
          </rPr>
          <t xml:space="preserve">
Finn Crisp customer service 22.4 2019.</t>
        </r>
      </text>
    </comment>
    <comment ref="P23"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K24" authorId="1">
      <text>
        <r>
          <rPr>
            <b/>
            <sz val="9"/>
            <rFont val="Tahoma"/>
            <family val="2"/>
          </rPr>
          <t>Annika Carlsson-Kanyama:</t>
        </r>
        <r>
          <rPr>
            <sz val="9"/>
            <rFont val="Tahoma"/>
            <family val="2"/>
          </rPr>
          <t xml:space="preserve">
Information from Delicato customer service 22.4 2019</t>
        </r>
      </text>
    </comment>
    <comment ref="P24"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27" authorId="1">
      <text>
        <r>
          <rPr>
            <b/>
            <sz val="9"/>
            <rFont val="Tahoma"/>
            <family val="2"/>
          </rPr>
          <t>Annika Carlsson-Kanyama:</t>
        </r>
        <r>
          <rPr>
            <sz val="9"/>
            <rFont val="Tahoma"/>
            <family val="2"/>
          </rPr>
          <t xml:space="preserve">
ICA online 6.5 2019</t>
        </r>
      </text>
    </comment>
    <comment ref="K27" authorId="1">
      <text>
        <r>
          <rPr>
            <b/>
            <sz val="9"/>
            <rFont val="Tahoma"/>
            <family val="2"/>
          </rPr>
          <t>Annika Carlsson-Kanyama:</t>
        </r>
        <r>
          <rPr>
            <sz val="9"/>
            <rFont val="Tahoma"/>
            <family val="2"/>
          </rPr>
          <t xml:space="preserve">
Information from ICA in May 2019</t>
        </r>
      </text>
    </comment>
    <comment ref="P27"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30" authorId="0">
      <text>
        <r>
          <rPr>
            <b/>
            <sz val="10"/>
            <color indexed="8"/>
            <rFont val="Tahoma"/>
            <family val="2"/>
          </rPr>
          <t>Microsoft Office User:</t>
        </r>
        <r>
          <rPr>
            <sz val="10"/>
            <color indexed="8"/>
            <rFont val="Tahoma"/>
            <family val="2"/>
          </rPr>
          <t xml:space="preserve">
Price collected at ICA and COOP in Hune 2019. Kungsörnens wheat flour 2 kg.</t>
        </r>
      </text>
    </comment>
    <comment ref="L30" authorId="0">
      <text>
        <r>
          <rPr>
            <b/>
            <sz val="10"/>
            <color indexed="8"/>
            <rFont val="Tahoma"/>
            <family val="2"/>
          </rPr>
          <t>Microsoft Office User:</t>
        </r>
        <r>
          <rPr>
            <sz val="10"/>
            <color indexed="8"/>
            <rFont val="Tahoma"/>
            <family val="2"/>
          </rPr>
          <t xml:space="preserve">
Information from Lögens kvarn via mail, april 2019.
https://www.logen.se/malningsprocessen/</t>
        </r>
      </text>
    </comment>
    <comment ref="P30"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32"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K32" authorId="1">
      <text>
        <r>
          <rPr>
            <b/>
            <sz val="9"/>
            <rFont val="Tahoma"/>
            <family val="2"/>
          </rPr>
          <t>Annika Carlsson-Kanyama:</t>
        </r>
        <r>
          <rPr>
            <sz val="9"/>
            <rFont val="Tahoma"/>
            <family val="2"/>
          </rPr>
          <t xml:space="preserve">
Information from https://www.mat.se/butik/havre-fras-quaker-375g 22-4 2019</t>
        </r>
      </text>
    </comment>
    <comment ref="P36" authorId="0">
      <text>
        <r>
          <rPr>
            <b/>
            <sz val="10"/>
            <color indexed="8"/>
            <rFont val="Tahoma"/>
            <family val="2"/>
          </rPr>
          <t>Microsoft Office User:</t>
        </r>
        <r>
          <rPr>
            <sz val="10"/>
            <color indexed="8"/>
            <rFont val="Tahoma"/>
            <family val="2"/>
          </rPr>
          <t xml:space="preserve">Weighed at home, </t>
        </r>
        <r>
          <rPr>
            <sz val="10"/>
            <color indexed="8"/>
            <rFont val="Arial"/>
            <family val="2"/>
          </rPr>
          <t>Beef Knuckle from Svenskagårdar.</t>
        </r>
        <r>
          <rPr>
            <sz val="10"/>
            <color indexed="8"/>
            <rFont val="Arial"/>
            <family val="2"/>
          </rPr>
          <t xml:space="preserve"> </t>
        </r>
      </text>
    </comment>
    <comment ref="I37" authorId="0">
      <text>
        <r>
          <rPr>
            <b/>
            <sz val="10"/>
            <color indexed="8"/>
            <rFont val="Tahoma"/>
            <family val="2"/>
          </rPr>
          <t xml:space="preserve">Microsoft Office User: </t>
        </r>
        <r>
          <rPr>
            <sz val="10"/>
            <color indexed="8"/>
            <rFont val="Tahoma"/>
            <family val="2"/>
          </rPr>
          <t xml:space="preserve">Prices collected at ICA and COOP in January 2019, average price here, see separate file.
</t>
        </r>
        <r>
          <rPr>
            <sz val="10"/>
            <color indexed="8"/>
            <rFont val="Tahoma"/>
            <family val="2"/>
          </rPr>
          <t xml:space="preserve">
</t>
        </r>
      </text>
    </comment>
    <comment ref="I38" authorId="0">
      <text>
        <r>
          <rPr>
            <b/>
            <sz val="10"/>
            <color indexed="8"/>
            <rFont val="Tahoma"/>
            <family val="2"/>
          </rPr>
          <t xml:space="preserve">Microsoft Office User: </t>
        </r>
        <r>
          <rPr>
            <sz val="10"/>
            <color indexed="8"/>
            <rFont val="Tahoma"/>
            <family val="2"/>
          </rPr>
          <t xml:space="preserve">Prices collected at ICA and COOP in January 2019, average price here, see separate file.
</t>
        </r>
        <r>
          <rPr>
            <sz val="10"/>
            <color indexed="8"/>
            <rFont val="Tahoma"/>
            <family val="2"/>
          </rPr>
          <t xml:space="preserve">
</t>
        </r>
      </text>
    </comment>
    <comment ref="I39" authorId="0">
      <text>
        <r>
          <rPr>
            <b/>
            <sz val="10"/>
            <color indexed="8"/>
            <rFont val="Tahoma"/>
            <family val="2"/>
          </rPr>
          <t xml:space="preserve">Microsoft Office User: </t>
        </r>
        <r>
          <rPr>
            <sz val="10"/>
            <color indexed="8"/>
            <rFont val="Tahoma"/>
            <family val="2"/>
          </rPr>
          <t xml:space="preserve">Prices collected at ICA and COOP in January 2019, average price here, see separate file.
</t>
        </r>
        <r>
          <rPr>
            <sz val="10"/>
            <color indexed="8"/>
            <rFont val="Tahoma"/>
            <family val="2"/>
          </rPr>
          <t xml:space="preserve">
</t>
        </r>
      </text>
    </comment>
    <comment ref="I40" authorId="0">
      <text>
        <r>
          <rPr>
            <b/>
            <sz val="10"/>
            <color indexed="8"/>
            <rFont val="Tahoma"/>
            <family val="2"/>
          </rPr>
          <t xml:space="preserve">Microsoft Office User: </t>
        </r>
        <r>
          <rPr>
            <sz val="10"/>
            <color indexed="8"/>
            <rFont val="Tahoma"/>
            <family val="2"/>
          </rPr>
          <t xml:space="preserve">Prices collected at ICA and COOP in January 2019, average price here, see separate file.
</t>
        </r>
        <r>
          <rPr>
            <sz val="10"/>
            <color indexed="8"/>
            <rFont val="Tahoma"/>
            <family val="2"/>
          </rPr>
          <t xml:space="preserve">
</t>
        </r>
      </text>
    </comment>
    <comment ref="I42" authorId="0">
      <text>
        <r>
          <rPr>
            <b/>
            <sz val="10"/>
            <color indexed="8"/>
            <rFont val="Tahoma"/>
            <family val="2"/>
          </rPr>
          <t>Microsoft Office User:</t>
        </r>
        <r>
          <rPr>
            <sz val="10"/>
            <color indexed="8"/>
            <rFont val="Tahoma"/>
            <family val="2"/>
          </rPr>
          <t xml:space="preserve">Prices collected at ICA and COOP in March 2019, average price here, see separate file.
</t>
        </r>
      </text>
    </comment>
    <comment ref="I43" authorId="0">
      <text>
        <r>
          <rPr>
            <b/>
            <sz val="10"/>
            <color indexed="8"/>
            <rFont val="Tahoma"/>
            <family val="2"/>
          </rPr>
          <t>Microsoft Office User:</t>
        </r>
        <r>
          <rPr>
            <sz val="10"/>
            <color indexed="8"/>
            <rFont val="Tahoma"/>
            <family val="2"/>
          </rPr>
          <t xml:space="preserve">Prices collected at ICA and COOP in March 2019, average price here, see separate file.
</t>
        </r>
      </text>
    </comment>
    <comment ref="I44" authorId="0">
      <text>
        <r>
          <rPr>
            <b/>
            <sz val="10"/>
            <color indexed="8"/>
            <rFont val="Tahoma"/>
            <family val="2"/>
          </rPr>
          <t>Microsoft Office User:</t>
        </r>
        <r>
          <rPr>
            <sz val="10"/>
            <color indexed="8"/>
            <rFont val="Tahoma"/>
            <family val="2"/>
          </rPr>
          <t xml:space="preserve">Prices collected at ICA and COOP in March 2019, average price here, see separate file.
</t>
        </r>
      </text>
    </comment>
    <comment ref="I45"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March 2019, average price here, see separate file.</t>
        </r>
      </text>
    </comment>
    <comment ref="I46" authorId="0">
      <text>
        <r>
          <rPr>
            <b/>
            <sz val="10"/>
            <color indexed="8"/>
            <rFont val="Tahoma"/>
            <family val="2"/>
          </rPr>
          <t>Microsoft Office User:</t>
        </r>
        <r>
          <rPr>
            <sz val="10"/>
            <color indexed="8"/>
            <rFont val="Tahoma"/>
            <family val="2"/>
          </rPr>
          <t xml:space="preserve">Prices collected at ICA and COOP in March 2019, average price here, see separate file.
</t>
        </r>
      </text>
    </comment>
    <comment ref="K46" authorId="1">
      <text>
        <r>
          <rPr>
            <b/>
            <sz val="9"/>
            <rFont val="Tahoma"/>
            <family val="2"/>
          </rPr>
          <t>Annika Carlsson-Kanyama:</t>
        </r>
        <r>
          <rPr>
            <sz val="9"/>
            <rFont val="Tahoma"/>
            <family val="2"/>
          </rPr>
          <t xml:space="preserve">
https://www.spisa.nu/fakta/hons-kyckling 5.6 2019</t>
        </r>
      </text>
    </comment>
    <comment ref="P46" authorId="0">
      <text>
        <r>
          <rPr>
            <b/>
            <sz val="10"/>
            <color indexed="8"/>
            <rFont val="Tahoma"/>
            <family val="2"/>
          </rPr>
          <t>Microsoft Office User:</t>
        </r>
        <r>
          <rPr>
            <sz val="10"/>
            <color indexed="8"/>
            <rFont val="Tahoma"/>
            <family val="2"/>
          </rPr>
          <t xml:space="preserve">Weighed at home, from Svensk fågel.
</t>
        </r>
      </text>
    </comment>
    <comment ref="I49"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January 2019, average price here, see separate file.</t>
        </r>
      </text>
    </comment>
    <comment ref="P49" authorId="0">
      <text>
        <r>
          <rPr>
            <b/>
            <sz val="10"/>
            <color indexed="8"/>
            <rFont val="Tahoma"/>
            <family val="2"/>
          </rPr>
          <t>Microsoft Office User:</t>
        </r>
        <r>
          <rPr>
            <sz val="10"/>
            <color indexed="8"/>
            <rFont val="Tahoma"/>
            <family val="2"/>
          </rPr>
          <t>Weighed at home.</t>
        </r>
      </text>
    </comment>
    <comment ref="I53" authorId="0">
      <text>
        <r>
          <rPr>
            <b/>
            <sz val="10"/>
            <color indexed="8"/>
            <rFont val="Tahoma"/>
            <family val="2"/>
          </rPr>
          <t>Microsoft Office User:</t>
        </r>
        <r>
          <rPr>
            <sz val="10"/>
            <color indexed="8"/>
            <rFont val="Tahoma"/>
            <family val="2"/>
          </rPr>
          <t xml:space="preserve">
</t>
        </r>
        <r>
          <rPr>
            <sz val="10"/>
            <color indexed="8"/>
            <rFont val="Tahoma"/>
            <family val="2"/>
          </rPr>
          <t>Prices collected at ICA in april 2019.</t>
        </r>
      </text>
    </comment>
    <comment ref="K53" authorId="1">
      <text>
        <r>
          <rPr>
            <b/>
            <sz val="9"/>
            <rFont val="Tahoma"/>
            <family val="2"/>
          </rPr>
          <t>Annika Carlsson-Kanyama:</t>
        </r>
        <r>
          <rPr>
            <sz val="9"/>
            <rFont val="Tahoma"/>
            <family val="2"/>
          </rPr>
          <t xml:space="preserve">
Information from ICA May 2019.</t>
        </r>
      </text>
    </comment>
    <comment ref="I57" authorId="0">
      <text>
        <r>
          <rPr>
            <b/>
            <sz val="10"/>
            <color indexed="8"/>
            <rFont val="Tahoma"/>
            <family val="2"/>
          </rPr>
          <t xml:space="preserve">Microsoft Office User: </t>
        </r>
        <r>
          <rPr>
            <sz val="10"/>
            <color indexed="8"/>
            <rFont val="Tahoma"/>
            <family val="2"/>
          </rPr>
          <t xml:space="preserve">Prices collected at ICA and COOP in January 2019, average price here, see separate file.
</t>
        </r>
      </text>
    </comment>
    <comment ref="K57" authorId="1">
      <text>
        <r>
          <rPr>
            <b/>
            <sz val="9"/>
            <color indexed="8"/>
            <rFont val="Tahoma"/>
            <family val="2"/>
          </rPr>
          <t>Annika Carlsson-Kanyama:</t>
        </r>
        <r>
          <rPr>
            <sz val="9"/>
            <color indexed="8"/>
            <rFont val="Tahoma"/>
            <family val="2"/>
          </rPr>
          <t xml:space="preserve">
</t>
        </r>
        <r>
          <rPr>
            <sz val="9"/>
            <color indexed="8"/>
            <rFont val="Tahoma"/>
            <family val="2"/>
          </rPr>
          <t>Information from Dafgård by mail and from packaging in April 2019</t>
        </r>
      </text>
    </comment>
    <comment ref="I63" authorId="1">
      <text>
        <r>
          <rPr>
            <b/>
            <sz val="9"/>
            <rFont val="Tahoma"/>
            <family val="2"/>
          </rPr>
          <t>Annika Carlsson-Kanyama:</t>
        </r>
        <r>
          <rPr>
            <sz val="9"/>
            <rFont val="Tahoma"/>
            <family val="2"/>
          </rPr>
          <t xml:space="preserve">
ICA and COOP online 24.4 2019</t>
        </r>
      </text>
    </comment>
    <comment ref="L63" authorId="1">
      <text>
        <r>
          <rPr>
            <b/>
            <sz val="9"/>
            <rFont val="Tahoma"/>
            <family val="2"/>
          </rPr>
          <t>Annika Carlsson-Kanyama:</t>
        </r>
        <r>
          <rPr>
            <sz val="9"/>
            <rFont val="Tahoma"/>
            <family val="2"/>
          </rPr>
          <t xml:space="preserve">
According to http://www.bohusfisk.se/utfall.html 25.4 2019.</t>
        </r>
      </text>
    </comment>
    <comment ref="N63" authorId="1">
      <text>
        <r>
          <rPr>
            <b/>
            <sz val="9"/>
            <rFont val="Tahoma"/>
            <family val="2"/>
          </rPr>
          <t>Annika Carlsson-Kanyama:</t>
        </r>
        <r>
          <rPr>
            <sz val="9"/>
            <rFont val="Tahoma"/>
            <family val="2"/>
          </rPr>
          <t xml:space="preserve">
Information from the packaging.</t>
        </r>
      </text>
    </comment>
    <comment ref="I64" authorId="1">
      <text>
        <r>
          <rPr>
            <b/>
            <sz val="9"/>
            <rFont val="Tahoma"/>
            <family val="2"/>
          </rPr>
          <t>Annika Carlsson-Kanyama:</t>
        </r>
        <r>
          <rPr>
            <sz val="9"/>
            <rFont val="Tahoma"/>
            <family val="2"/>
          </rPr>
          <t xml:space="preserve">
COOP online 24.4 2019</t>
        </r>
      </text>
    </comment>
    <comment ref="L64" authorId="1">
      <text>
        <r>
          <rPr>
            <b/>
            <sz val="9"/>
            <rFont val="Tahoma"/>
            <family val="2"/>
          </rPr>
          <t>Annika Carlsson-Kanyama:</t>
        </r>
        <r>
          <rPr>
            <sz val="9"/>
            <rFont val="Tahoma"/>
            <family val="2"/>
          </rPr>
          <t xml:space="preserve">
According to http://www.bohusfisk.se/utfall.html 25.4 2019.</t>
        </r>
      </text>
    </comment>
    <comment ref="I65" authorId="1">
      <text>
        <r>
          <rPr>
            <b/>
            <sz val="9"/>
            <rFont val="Tahoma"/>
            <family val="2"/>
          </rPr>
          <t>Annika Carlsson-Kanyama:</t>
        </r>
        <r>
          <rPr>
            <sz val="9"/>
            <rFont val="Tahoma"/>
            <family val="2"/>
          </rPr>
          <t xml:space="preserve">
Matspar online 24.4 2019
</t>
        </r>
      </text>
    </comment>
    <comment ref="K65" authorId="1">
      <text>
        <r>
          <rPr>
            <b/>
            <sz val="9"/>
            <rFont val="Tahoma"/>
            <family val="2"/>
          </rPr>
          <t>Annika Carlsson-Kanyama:</t>
        </r>
        <r>
          <rPr>
            <sz val="9"/>
            <rFont val="Tahoma"/>
            <family val="2"/>
          </rPr>
          <t xml:space="preserve">
information from https://www.royalgreenland.se/btc/Sortiment/Liten-halleflundra.aspx 24.4 2019.
</t>
        </r>
      </text>
    </comment>
    <comment ref="N65" authorId="1">
      <text>
        <r>
          <rPr>
            <b/>
            <sz val="9"/>
            <rFont val="Tahoma"/>
            <family val="2"/>
          </rPr>
          <t>Annika Carlsson-Kanyama:</t>
        </r>
        <r>
          <rPr>
            <sz val="9"/>
            <rFont val="Tahoma"/>
            <family val="2"/>
          </rPr>
          <t xml:space="preserve">
According to customer service Royal Greenland. The storage is in Denmark. Distance from Greenlnad to Denmark from http://www.distances.com/distances/nakskov/nuuk 25.4 2019.</t>
        </r>
      </text>
    </comment>
    <comment ref="I67" authorId="1">
      <text>
        <r>
          <rPr>
            <b/>
            <sz val="9"/>
            <rFont val="Tahoma"/>
            <family val="2"/>
          </rPr>
          <t>Annika Carlsson-Kanyama:</t>
        </r>
        <r>
          <rPr>
            <sz val="9"/>
            <rFont val="Tahoma"/>
            <family val="2"/>
          </rPr>
          <t xml:space="preserve">
Price at Hemköp 24.4 2019.
</t>
        </r>
      </text>
    </comment>
    <comment ref="K67" authorId="1">
      <text>
        <r>
          <rPr>
            <b/>
            <sz val="9"/>
            <rFont val="Tahoma"/>
            <family val="2"/>
          </rPr>
          <t>Annika Carlsson-Kanyama:</t>
        </r>
        <r>
          <rPr>
            <sz val="9"/>
            <rFont val="Tahoma"/>
            <family val="2"/>
          </rPr>
          <t xml:space="preserve">
Axfood customer service 25.4 2019.</t>
        </r>
      </text>
    </comment>
    <comment ref="N67" authorId="1">
      <text>
        <r>
          <rPr>
            <b/>
            <sz val="9"/>
            <rFont val="Tahoma"/>
            <family val="2"/>
          </rPr>
          <t>Annika Carlsson-Kanyama:</t>
        </r>
        <r>
          <rPr>
            <sz val="9"/>
            <rFont val="Tahoma"/>
            <family val="2"/>
          </rPr>
          <t xml:space="preserve">
Information from the packaging</t>
        </r>
      </text>
    </comment>
    <comment ref="I70" authorId="1">
      <text>
        <r>
          <rPr>
            <b/>
            <sz val="9"/>
            <rFont val="Tahoma"/>
            <family val="2"/>
          </rPr>
          <t>Annika Carlsson-Kanyama:</t>
        </r>
        <r>
          <rPr>
            <sz val="9"/>
            <rFont val="Tahoma"/>
            <family val="2"/>
          </rPr>
          <t xml:space="preserve">
Prices from ICA and COOP online 25.4 2019.
</t>
        </r>
      </text>
    </comment>
    <comment ref="K70" authorId="1">
      <text>
        <r>
          <rPr>
            <b/>
            <sz val="9"/>
            <rFont val="Tahoma"/>
            <family val="2"/>
          </rPr>
          <t>Annika Carlsson-Kanyama:</t>
        </r>
        <r>
          <rPr>
            <sz val="9"/>
            <rFont val="Tahoma"/>
            <family val="2"/>
          </rPr>
          <t xml:space="preserve">
According to pacakaging</t>
        </r>
      </text>
    </comment>
    <comment ref="L70" authorId="1">
      <text>
        <r>
          <rPr>
            <b/>
            <sz val="9"/>
            <rFont val="Tahoma"/>
            <family val="2"/>
          </rPr>
          <t>Annika Carlsson-Kanyama:</t>
        </r>
        <r>
          <rPr>
            <sz val="9"/>
            <rFont val="Tahoma"/>
            <family val="2"/>
          </rPr>
          <t xml:space="preserve">
Based on an output of 2.</t>
        </r>
      </text>
    </comment>
    <comment ref="N70" authorId="1">
      <text>
        <r>
          <rPr>
            <b/>
            <sz val="9"/>
            <rFont val="Tahoma"/>
            <family val="2"/>
          </rPr>
          <t>Annika Carlsson-Kanyama:</t>
        </r>
        <r>
          <rPr>
            <sz val="9"/>
            <rFont val="Tahoma"/>
            <family val="2"/>
          </rPr>
          <t xml:space="preserve">
According to pckaging</t>
        </r>
      </text>
    </comment>
    <comment ref="I72"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K72" authorId="1">
      <text>
        <r>
          <rPr>
            <b/>
            <sz val="9"/>
            <rFont val="Tahoma"/>
            <family val="2"/>
          </rPr>
          <t>Annika Carlsson-Kanyama:</t>
        </r>
        <r>
          <rPr>
            <sz val="9"/>
            <rFont val="Tahoma"/>
            <family val="2"/>
          </rPr>
          <t xml:space="preserve">
According to packaging and contact with ABBA customer service 25.4 2019.</t>
        </r>
      </text>
    </comment>
    <comment ref="L72" authorId="1">
      <text>
        <r>
          <rPr>
            <b/>
            <sz val="9"/>
            <rFont val="Tahoma"/>
            <family val="2"/>
          </rPr>
          <t>Annika Carlsson-Kanyama:</t>
        </r>
        <r>
          <rPr>
            <sz val="9"/>
            <rFont val="Tahoma"/>
            <family val="2"/>
          </rPr>
          <t xml:space="preserve">
Based on a cod output of 2,38
</t>
        </r>
      </text>
    </comment>
    <comment ref="I73"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in april 2019.</t>
        </r>
      </text>
    </comment>
    <comment ref="L73" authorId="1">
      <text>
        <r>
          <rPr>
            <b/>
            <sz val="9"/>
            <rFont val="Tahoma"/>
            <family val="2"/>
          </rPr>
          <t>Annika Carlsson-Kanyama:</t>
        </r>
        <r>
          <rPr>
            <sz val="9"/>
            <rFont val="Tahoma"/>
            <family val="2"/>
          </rPr>
          <t xml:space="preserve">
Based on the contents and a recipie of mashed potatoes as well as an assumption that the fish was a cod gutted with a head</t>
        </r>
      </text>
    </comment>
    <comment ref="I78" authorId="0">
      <text>
        <r>
          <rPr>
            <b/>
            <sz val="10"/>
            <color indexed="8"/>
            <rFont val="Tahoma"/>
            <family val="2"/>
          </rPr>
          <t>Microsoft Office User:</t>
        </r>
        <r>
          <rPr>
            <sz val="10"/>
            <color indexed="8"/>
            <rFont val="Tahoma"/>
            <family val="2"/>
          </rPr>
          <t xml:space="preserve">
</t>
        </r>
        <r>
          <rPr>
            <sz val="10"/>
            <color indexed="8"/>
            <rFont val="Tahoma"/>
            <family val="2"/>
          </rPr>
          <t>Price collected at ICA in 2019.</t>
        </r>
      </text>
    </comment>
    <comment ref="L78" authorId="0">
      <text>
        <r>
          <rPr>
            <b/>
            <sz val="10"/>
            <color indexed="8"/>
            <rFont val="Tahoma"/>
            <family val="2"/>
          </rPr>
          <t>Microsoft Office User:</t>
        </r>
        <r>
          <rPr>
            <sz val="10"/>
            <color indexed="8"/>
            <rFont val="Tahoma"/>
            <family val="2"/>
          </rPr>
          <t xml:space="preserve">
</t>
        </r>
        <r>
          <rPr>
            <sz val="10"/>
            <color indexed="8"/>
            <rFont val="Tahoma"/>
            <family val="2"/>
          </rPr>
          <t>Information from Arla via mail, april 2019.</t>
        </r>
      </text>
    </comment>
    <comment ref="P78"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G80" authorId="1">
      <text>
        <r>
          <rPr>
            <b/>
            <sz val="9"/>
            <rFont val="Tahoma"/>
            <family val="2"/>
          </rPr>
          <t>Annika Carlsson-Kanyama:</t>
        </r>
        <r>
          <rPr>
            <sz val="9"/>
            <rFont val="Tahoma"/>
            <family val="2"/>
          </rPr>
          <t xml:space="preserve">
But we assumed strawberries instead</t>
        </r>
      </text>
    </comment>
    <comment ref="I80"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L80" authorId="0">
      <text>
        <r>
          <rPr>
            <b/>
            <sz val="10"/>
            <color indexed="8"/>
            <rFont val="Tahoma"/>
            <family val="2"/>
          </rPr>
          <t>Microsoft Office User:</t>
        </r>
        <r>
          <rPr>
            <sz val="10"/>
            <color indexed="8"/>
            <rFont val="Tahoma"/>
            <family val="2"/>
          </rPr>
          <t xml:space="preserve">
Information from Arla via mail, april 2019 about losses in milk production included in the calculation</t>
        </r>
      </text>
    </comment>
    <comment ref="P80"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81"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L81" authorId="0">
      <text>
        <r>
          <rPr>
            <b/>
            <sz val="10"/>
            <color indexed="8"/>
            <rFont val="Tahoma"/>
            <family val="2"/>
          </rPr>
          <t>Microsoft Office User:</t>
        </r>
        <r>
          <rPr>
            <sz val="10"/>
            <color indexed="8"/>
            <rFont val="Tahoma"/>
            <family val="2"/>
          </rPr>
          <t xml:space="preserve">
</t>
        </r>
        <r>
          <rPr>
            <sz val="10"/>
            <color indexed="8"/>
            <rFont val="Tahoma"/>
            <family val="2"/>
          </rPr>
          <t>Information from Arla via mail, april 2019.</t>
        </r>
      </text>
    </comment>
    <comment ref="P81"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83" authorId="0">
      <text>
        <r>
          <rPr>
            <b/>
            <sz val="10"/>
            <color indexed="8"/>
            <rFont val="Tahoma"/>
            <family val="2"/>
          </rPr>
          <t>Microsoft Office User:</t>
        </r>
        <r>
          <rPr>
            <sz val="10"/>
            <color indexed="8"/>
            <rFont val="Tahoma"/>
            <family val="2"/>
          </rPr>
          <t xml:space="preserve">
</t>
        </r>
        <r>
          <rPr>
            <sz val="10"/>
            <color indexed="8"/>
            <rFont val="Tahoma"/>
            <family val="2"/>
          </rPr>
          <t>Price collected at COOP in april 2019.</t>
        </r>
      </text>
    </comment>
    <comment ref="I86" authorId="0">
      <text>
        <r>
          <rPr>
            <b/>
            <sz val="10"/>
            <color indexed="8"/>
            <rFont val="Tahoma"/>
            <family val="2"/>
          </rPr>
          <t>Microsoft Office User:</t>
        </r>
        <r>
          <rPr>
            <sz val="10"/>
            <color indexed="8"/>
            <rFont val="Tahoma"/>
            <family val="2"/>
          </rPr>
          <t xml:space="preserve">
</t>
        </r>
        <r>
          <rPr>
            <sz val="10"/>
            <color indexed="8"/>
            <rFont val="Tahoma"/>
            <family val="2"/>
          </rPr>
          <t>Price collected at COOP in april 2019.</t>
        </r>
      </text>
    </comment>
    <comment ref="K86" authorId="1">
      <text>
        <r>
          <rPr>
            <b/>
            <sz val="9"/>
            <rFont val="Tahoma"/>
            <family val="2"/>
          </rPr>
          <t>Annika Carlsson-Kanyama:</t>
        </r>
        <r>
          <rPr>
            <sz val="9"/>
            <rFont val="Tahoma"/>
            <family val="2"/>
          </rPr>
          <t xml:space="preserve">
Information from Skånemejerier 19.6 2019. 3-4 kg per kg curd</t>
        </r>
      </text>
    </comment>
    <comment ref="I91" authorId="0">
      <text>
        <r>
          <rPr>
            <b/>
            <sz val="10"/>
            <color indexed="8"/>
            <rFont val="Tahoma"/>
            <family val="2"/>
          </rPr>
          <t>Microsoft Office User:</t>
        </r>
        <r>
          <rPr>
            <sz val="10"/>
            <color indexed="8"/>
            <rFont val="Tahoma"/>
            <family val="2"/>
          </rPr>
          <t xml:space="preserve">
</t>
        </r>
        <r>
          <rPr>
            <sz val="10"/>
            <color indexed="8"/>
            <rFont val="Tahoma"/>
            <family val="2"/>
          </rPr>
          <t>Price collected at LIDL in 2019.</t>
        </r>
      </text>
    </comment>
    <comment ref="L91" authorId="1">
      <text>
        <r>
          <rPr>
            <b/>
            <sz val="9"/>
            <rFont val="Tahoma"/>
            <family val="2"/>
          </rPr>
          <t>Annika Carlsson-Kanyama:</t>
        </r>
        <r>
          <rPr>
            <sz val="9"/>
            <rFont val="Tahoma"/>
            <family val="2"/>
          </rPr>
          <t xml:space="preserve">
According to Linköping mejeri Arla 7.6 2019.</t>
        </r>
      </text>
    </comment>
    <comment ref="P91"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98" authorId="0">
      <text>
        <r>
          <rPr>
            <b/>
            <sz val="10"/>
            <color indexed="8"/>
            <rFont val="Tahoma"/>
            <family val="2"/>
          </rPr>
          <t>Microsoft Office User:</t>
        </r>
        <r>
          <rPr>
            <sz val="10"/>
            <color indexed="8"/>
            <rFont val="Tahoma"/>
            <family val="2"/>
          </rPr>
          <t xml:space="preserve">
</t>
        </r>
        <r>
          <rPr>
            <sz val="10"/>
            <color indexed="8"/>
            <rFont val="Tahoma"/>
            <family val="2"/>
          </rPr>
          <t>Price collected at LIDL in april 2019.</t>
        </r>
      </text>
    </comment>
    <comment ref="P98"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103" authorId="0">
      <text>
        <r>
          <rPr>
            <b/>
            <sz val="10"/>
            <color indexed="8"/>
            <rFont val="Tahoma"/>
            <family val="2"/>
          </rPr>
          <t>Microsoft Office User:</t>
        </r>
        <r>
          <rPr>
            <sz val="10"/>
            <color indexed="8"/>
            <rFont val="Tahoma"/>
            <family val="2"/>
          </rPr>
          <t xml:space="preserve">
</t>
        </r>
        <r>
          <rPr>
            <sz val="10"/>
            <color indexed="8"/>
            <rFont val="Tahoma"/>
            <family val="2"/>
          </rPr>
          <t>Price collected at ICA in 2019.</t>
        </r>
      </text>
    </comment>
    <comment ref="L103" authorId="1">
      <text>
        <r>
          <rPr>
            <b/>
            <sz val="9"/>
            <rFont val="Tahoma"/>
            <family val="2"/>
          </rPr>
          <t>Annika Carlsson-Kanyama:</t>
        </r>
        <r>
          <rPr>
            <sz val="9"/>
            <rFont val="Tahoma"/>
            <family val="2"/>
          </rPr>
          <t xml:space="preserve">
https://konsumentkontakt.arla.se/org/arla/d/hur-mycket-gradde-gar-det-at-for-att-tillverka-smo/ 25.4 2019.</t>
        </r>
      </text>
    </comment>
    <comment ref="K104" authorId="1">
      <text>
        <r>
          <rPr>
            <b/>
            <sz val="9"/>
            <rFont val="Tahoma"/>
            <family val="2"/>
          </rPr>
          <t>Annika Carlsson-Kanyama:</t>
        </r>
        <r>
          <rPr>
            <sz val="9"/>
            <rFont val="Tahoma"/>
            <family val="2"/>
          </rPr>
          <t xml:space="preserve">
https://www.arla.se/produkter/bregott/matfettsblandning-mellan-57pct-600g-492087/?gclid=CjwKCAjwtYXmBRAOEiwAYsyl3BSPPTJjEvxU9sIeASC1XaqPUeRTO9r1c6Varkwc0Ja2JgecBx_n8hoCINAQAvD_BwE&amp;gclsrc=aw.ds 25.4 2019 and information from Arla in April 2019.</t>
        </r>
      </text>
    </comment>
    <comment ref="L104" authorId="1">
      <text>
        <r>
          <rPr>
            <b/>
            <sz val="9"/>
            <rFont val="Tahoma"/>
            <family val="2"/>
          </rPr>
          <t>Annika Carlsson-Kanyama:</t>
        </r>
        <r>
          <rPr>
            <sz val="9"/>
            <rFont val="Tahoma"/>
            <family val="2"/>
          </rPr>
          <t xml:space="preserve">
https://konsumentkontakt.arla.se/org/arla/d/hur-mycket-gradde-gar-det-at-for-att-tillverka-smo/ 25.4 2019.</t>
        </r>
      </text>
    </comment>
    <comment ref="P104"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K107" authorId="1">
      <text>
        <r>
          <rPr>
            <b/>
            <sz val="9"/>
            <rFont val="Tahoma"/>
            <family val="2"/>
          </rPr>
          <t>Annika Carlsson-Kanyama:</t>
        </r>
        <r>
          <rPr>
            <sz val="9"/>
            <rFont val="Tahoma"/>
            <family val="2"/>
          </rPr>
          <t xml:space="preserve">
Information from https://www.google.com/search?q=l%C3%A4tta+inneh%C3%A5llsf%C3%B6rteckning&amp;rlz=1C1GCEA_enSE842SE842&amp;oq=%C3%A4tta+inneh%C3%A5ll&amp;aqs=chrome.3.69i57j0l5.8686j0j8&amp;sourceid=chrome&amp;ie=UTF-8 in May 2019</t>
        </r>
      </text>
    </comment>
    <comment ref="P107"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113" authorId="1">
      <text>
        <r>
          <rPr>
            <b/>
            <sz val="9"/>
            <rFont val="Tahoma"/>
            <family val="2"/>
          </rPr>
          <t>Annika Carlsson-Kanyama:</t>
        </r>
        <r>
          <rPr>
            <sz val="9"/>
            <rFont val="Tahoma"/>
            <family val="2"/>
          </rPr>
          <t xml:space="preserve">
Pris på CA online den 6.5 2019.</t>
        </r>
      </text>
    </comment>
    <comment ref="K113" authorId="1">
      <text>
        <r>
          <rPr>
            <b/>
            <sz val="9"/>
            <rFont val="Tahoma"/>
            <family val="2"/>
          </rPr>
          <t>Annika Carlsson-Kanyama:</t>
        </r>
        <r>
          <rPr>
            <sz val="9"/>
            <rFont val="Tahoma"/>
            <family val="2"/>
          </rPr>
          <t xml:space="preserve">
According to Zeta customer service 22.4 2019</t>
        </r>
      </text>
    </comment>
    <comment ref="I118" authorId="1">
      <text>
        <r>
          <rPr>
            <b/>
            <sz val="9"/>
            <rFont val="Tahoma"/>
            <family val="2"/>
          </rPr>
          <t>Annika Carlsson-Kanyama:</t>
        </r>
        <r>
          <rPr>
            <sz val="9"/>
            <rFont val="Tahoma"/>
            <family val="2"/>
          </rPr>
          <t xml:space="preserve">
Prices at ICA and COOP 6.5 2019.</t>
        </r>
      </text>
    </comment>
    <comment ref="I119" authorId="1">
      <text>
        <r>
          <rPr>
            <b/>
            <sz val="9"/>
            <color indexed="8"/>
            <rFont val="Tahoma"/>
            <family val="2"/>
          </rPr>
          <t>Annika Carlsson-Kanyama:</t>
        </r>
        <r>
          <rPr>
            <sz val="9"/>
            <color indexed="8"/>
            <rFont val="Tahoma"/>
            <family val="2"/>
          </rPr>
          <t xml:space="preserve">
</t>
        </r>
        <r>
          <rPr>
            <sz val="9"/>
            <color indexed="8"/>
            <rFont val="Tahoma"/>
            <family val="2"/>
          </rPr>
          <t>Prices at ICA and COOP 6.5 2019.</t>
        </r>
      </text>
    </comment>
    <comment ref="I120" authorId="1">
      <text>
        <r>
          <rPr>
            <b/>
            <sz val="9"/>
            <rFont val="Tahoma"/>
            <family val="2"/>
          </rPr>
          <t>Annika Carlsson-Kanyama:</t>
        </r>
        <r>
          <rPr>
            <sz val="9"/>
            <rFont val="Tahoma"/>
            <family val="2"/>
          </rPr>
          <t xml:space="preserve">
Prices at ICA and COOP 6.5 2019.</t>
        </r>
      </text>
    </comment>
    <comment ref="I122" authorId="1">
      <text>
        <r>
          <rPr>
            <b/>
            <sz val="9"/>
            <rFont val="Tahoma"/>
            <family val="2"/>
          </rPr>
          <t>Annika Carlsson-Kanyama:</t>
        </r>
        <r>
          <rPr>
            <sz val="9"/>
            <rFont val="Tahoma"/>
            <family val="2"/>
          </rPr>
          <t xml:space="preserve">
Prices at ICA and COOP 6.5 2019.</t>
        </r>
      </text>
    </comment>
    <comment ref="I123" authorId="1">
      <text>
        <r>
          <rPr>
            <b/>
            <sz val="9"/>
            <rFont val="Tahoma"/>
            <family val="2"/>
          </rPr>
          <t>Annika Carlsson-Kanyama:</t>
        </r>
        <r>
          <rPr>
            <sz val="9"/>
            <rFont val="Tahoma"/>
            <family val="2"/>
          </rPr>
          <t xml:space="preserve">
Prices at ICA and COOP 6.5 2019.</t>
        </r>
      </text>
    </comment>
    <comment ref="I125" authorId="1">
      <text>
        <r>
          <rPr>
            <b/>
            <sz val="9"/>
            <rFont val="Tahoma"/>
            <family val="2"/>
          </rPr>
          <t>Annika Carlsson-Kanyama:</t>
        </r>
        <r>
          <rPr>
            <sz val="9"/>
            <rFont val="Tahoma"/>
            <family val="2"/>
          </rPr>
          <t xml:space="preserve">
Prices at ICA and COOP 6.5 2019.</t>
        </r>
      </text>
    </comment>
    <comment ref="I128" authorId="1">
      <text>
        <r>
          <rPr>
            <b/>
            <sz val="9"/>
            <rFont val="Tahoma"/>
            <family val="2"/>
          </rPr>
          <t>Annika Carlsson-Kanyama:</t>
        </r>
        <r>
          <rPr>
            <sz val="9"/>
            <rFont val="Tahoma"/>
            <family val="2"/>
          </rPr>
          <t xml:space="preserve">
Prices at ICA and COOP 6.5 2019.</t>
        </r>
      </text>
    </comment>
    <comment ref="I129" authorId="1">
      <text>
        <r>
          <rPr>
            <b/>
            <sz val="9"/>
            <rFont val="Tahoma"/>
            <family val="2"/>
          </rPr>
          <t>Annika Carlsson-Kanyama:</t>
        </r>
        <r>
          <rPr>
            <sz val="9"/>
            <rFont val="Tahoma"/>
            <family val="2"/>
          </rPr>
          <t xml:space="preserve">
Mathem about the prices of Swedish strawberries in May 2019.</t>
        </r>
      </text>
    </comment>
    <comment ref="I131" authorId="1">
      <text>
        <r>
          <rPr>
            <b/>
            <sz val="9"/>
            <rFont val="Tahoma"/>
            <family val="2"/>
          </rPr>
          <t>Annika Carlsson-Kanyama:</t>
        </r>
        <r>
          <rPr>
            <sz val="9"/>
            <rFont val="Tahoma"/>
            <family val="2"/>
          </rPr>
          <t xml:space="preserve">
Mathem about the prices of Swedish strawberries in May 2019.</t>
        </r>
      </text>
    </comment>
    <comment ref="I132" authorId="1">
      <text>
        <r>
          <rPr>
            <b/>
            <sz val="9"/>
            <rFont val="Tahoma"/>
            <family val="2"/>
          </rPr>
          <t>Annika Carlsson-Kanyama:</t>
        </r>
        <r>
          <rPr>
            <sz val="9"/>
            <rFont val="Tahoma"/>
            <family val="2"/>
          </rPr>
          <t xml:space="preserve">
Mathem about the prices of Swedish strawberries in May 2019.</t>
        </r>
      </text>
    </comment>
    <comment ref="I136" authorId="1">
      <text>
        <r>
          <rPr>
            <b/>
            <sz val="9"/>
            <rFont val="Tahoma"/>
            <family val="2"/>
          </rPr>
          <t>Annika Carlsson-Kanyama:</t>
        </r>
        <r>
          <rPr>
            <sz val="9"/>
            <rFont val="Tahoma"/>
            <family val="2"/>
          </rPr>
          <t xml:space="preserve">
Prices at ICA and COOP 6.5 2019.</t>
        </r>
      </text>
    </comment>
    <comment ref="K136" authorId="1">
      <text>
        <r>
          <rPr>
            <b/>
            <sz val="9"/>
            <rFont val="Tahoma"/>
            <family val="2"/>
          </rPr>
          <t>Annika Carlsson-Kanyama:</t>
        </r>
        <r>
          <rPr>
            <sz val="9"/>
            <rFont val="Tahoma"/>
            <family val="2"/>
          </rPr>
          <t xml:space="preserve">
https://www.coop.se/handla-online/varor/skafferi/snacks/jordnotter-saltpinnar/17101-jordnotter-salta/ 6.5 2019. Also information from another producer of snacks 7.5 2019.</t>
        </r>
      </text>
    </comment>
    <comment ref="I139" authorId="1">
      <text>
        <r>
          <rPr>
            <b/>
            <sz val="9"/>
            <rFont val="Tahoma"/>
            <family val="2"/>
          </rPr>
          <t>Annika Carlsson-Kanyama:</t>
        </r>
        <r>
          <rPr>
            <sz val="9"/>
            <rFont val="Tahoma"/>
            <family val="2"/>
          </rPr>
          <t xml:space="preserve">
Prices at ICA  6.5 2019.</t>
        </r>
      </text>
    </comment>
    <comment ref="N139" authorId="1">
      <text>
        <r>
          <rPr>
            <b/>
            <sz val="9"/>
            <rFont val="Tahoma"/>
            <family val="2"/>
          </rPr>
          <t>Annika Carlsson-Kanyama:</t>
        </r>
        <r>
          <rPr>
            <sz val="9"/>
            <rFont val="Tahoma"/>
            <family val="2"/>
          </rPr>
          <t xml:space="preserve">
https://www.ica.se/handla/produkt/broccoli-fryst-1kg-ica-basic-id_p_7318690080237/#s=maxi-ica-stormarknad-botkyrka-id_09411 6.5 2019.</t>
        </r>
      </text>
    </comment>
    <comment ref="I140" authorId="1">
      <text>
        <r>
          <rPr>
            <b/>
            <sz val="9"/>
            <rFont val="Tahoma"/>
            <family val="2"/>
          </rPr>
          <t>Annika Carlsson-Kanyama:</t>
        </r>
        <r>
          <rPr>
            <sz val="9"/>
            <rFont val="Tahoma"/>
            <family val="2"/>
          </rPr>
          <t xml:space="preserve">
Prices from ICA and COOP 8,5 2019.</t>
        </r>
      </text>
    </comment>
    <comment ref="I142" authorId="1">
      <text>
        <r>
          <rPr>
            <b/>
            <sz val="9"/>
            <rFont val="Tahoma"/>
            <family val="2"/>
          </rPr>
          <t>Annika Carlsson-Kanyama:</t>
        </r>
        <r>
          <rPr>
            <sz val="9"/>
            <rFont val="Tahoma"/>
            <family val="2"/>
          </rPr>
          <t xml:space="preserve">
Prices from ICA and COOP 8,5 2019.</t>
        </r>
      </text>
    </comment>
    <comment ref="I143" authorId="1">
      <text>
        <r>
          <rPr>
            <b/>
            <sz val="9"/>
            <rFont val="Tahoma"/>
            <family val="2"/>
          </rPr>
          <t>Annika Carlsson-Kanyama:</t>
        </r>
        <r>
          <rPr>
            <sz val="9"/>
            <rFont val="Tahoma"/>
            <family val="2"/>
          </rPr>
          <t xml:space="preserve">
Prices from ICA and COOP 8,5 2019.</t>
        </r>
      </text>
    </comment>
    <comment ref="I144" authorId="1">
      <text>
        <r>
          <rPr>
            <b/>
            <sz val="9"/>
            <rFont val="Tahoma"/>
            <family val="2"/>
          </rPr>
          <t>Annika Carlsson-Kanyama:</t>
        </r>
        <r>
          <rPr>
            <sz val="9"/>
            <rFont val="Tahoma"/>
            <family val="2"/>
          </rPr>
          <t xml:space="preserve">
Prices from ICA and COOP 8,5 2019.</t>
        </r>
      </text>
    </comment>
    <comment ref="I145" authorId="1">
      <text>
        <r>
          <rPr>
            <b/>
            <sz val="9"/>
            <rFont val="Tahoma"/>
            <family val="2"/>
          </rPr>
          <t>Annika Carlsson-Kanyama:</t>
        </r>
        <r>
          <rPr>
            <sz val="9"/>
            <rFont val="Tahoma"/>
            <family val="2"/>
          </rPr>
          <t xml:space="preserve">
Prices from ICA and COOP 12.6 2019.</t>
        </r>
      </text>
    </comment>
    <comment ref="I150" authorId="1">
      <text>
        <r>
          <rPr>
            <b/>
            <sz val="9"/>
            <rFont val="Tahoma"/>
            <family val="2"/>
          </rPr>
          <t>Annika Carlsson-Kanyama:</t>
        </r>
        <r>
          <rPr>
            <sz val="9"/>
            <rFont val="Tahoma"/>
            <family val="2"/>
          </rPr>
          <t xml:space="preserve">
https://www.natmat.se/produkt/majskorn-eko-2x150g-daucy7.5 2019
</t>
        </r>
      </text>
    </comment>
    <comment ref="K150" authorId="1">
      <text>
        <r>
          <rPr>
            <b/>
            <sz val="9"/>
            <rFont val="Tahoma"/>
            <family val="2"/>
          </rPr>
          <t>Annika Carlsson-Kanyama:</t>
        </r>
        <r>
          <rPr>
            <sz val="9"/>
            <rFont val="Tahoma"/>
            <family val="2"/>
          </rPr>
          <t xml:space="preserve">
Weighed at home before and after eating two corn cobs in May 2019</t>
        </r>
      </text>
    </comment>
    <comment ref="I153" authorId="1">
      <text>
        <r>
          <rPr>
            <b/>
            <sz val="9"/>
            <rFont val="Tahoma"/>
            <family val="2"/>
          </rPr>
          <t>Annika Carlsson-Kanyama:</t>
        </r>
        <r>
          <rPr>
            <sz val="9"/>
            <rFont val="Tahoma"/>
            <family val="2"/>
          </rPr>
          <t xml:space="preserve">
Prices from ICA and COOP 8,5 2019.</t>
        </r>
      </text>
    </comment>
    <comment ref="I156" authorId="1">
      <text>
        <r>
          <rPr>
            <b/>
            <sz val="9"/>
            <rFont val="Tahoma"/>
            <family val="2"/>
          </rPr>
          <t>Annika Carlsson-Kanyama:</t>
        </r>
        <r>
          <rPr>
            <sz val="9"/>
            <rFont val="Tahoma"/>
            <family val="2"/>
          </rPr>
          <t xml:space="preserve">
Prices from ICA and COOP 8,5 2019.</t>
        </r>
      </text>
    </comment>
    <comment ref="L156" authorId="1">
      <text>
        <r>
          <rPr>
            <b/>
            <sz val="9"/>
            <rFont val="Tahoma"/>
            <family val="2"/>
          </rPr>
          <t>Annika Carlsson-Kanyama:</t>
        </r>
        <r>
          <rPr>
            <sz val="9"/>
            <rFont val="Tahoma"/>
            <family val="2"/>
          </rPr>
          <t xml:space="preserve">
Information from OLW customer service 8.5 2019</t>
        </r>
      </text>
    </comment>
    <comment ref="I161" authorId="1">
      <text>
        <r>
          <rPr>
            <b/>
            <sz val="9"/>
            <rFont val="Tahoma"/>
            <family val="2"/>
          </rPr>
          <t>Annika Carlsson-Kanyama:</t>
        </r>
        <r>
          <rPr>
            <sz val="9"/>
            <rFont val="Tahoma"/>
            <family val="2"/>
          </rPr>
          <t xml:space="preserve">
Prices from ICA and COOP 8,5 2019.</t>
        </r>
      </text>
    </comment>
    <comment ref="G163" authorId="1">
      <text>
        <r>
          <rPr>
            <b/>
            <sz val="9"/>
            <rFont val="Tahoma"/>
            <family val="2"/>
          </rPr>
          <t>Annika Carlsson-Kanyama:</t>
        </r>
        <r>
          <rPr>
            <sz val="9"/>
            <rFont val="Tahoma"/>
            <family val="2"/>
          </rPr>
          <t xml:space="preserve">
Prices for Marabou mjölkchoklad mörk as well as packaging. Basic goods from Miah et al 2018.</t>
        </r>
      </text>
    </comment>
    <comment ref="I163" authorId="1">
      <text>
        <r>
          <rPr>
            <b/>
            <sz val="9"/>
            <rFont val="Tahoma"/>
            <family val="2"/>
          </rPr>
          <t>Annika Carlsson-Kanyama:</t>
        </r>
        <r>
          <rPr>
            <sz val="9"/>
            <rFont val="Tahoma"/>
            <family val="2"/>
          </rPr>
          <t xml:space="preserve">
Prices from ICA and COOP 8,5 2019.</t>
        </r>
      </text>
    </comment>
    <comment ref="K163" authorId="1">
      <text>
        <r>
          <rPr>
            <b/>
            <sz val="9"/>
            <rFont val="Tahoma"/>
            <family val="2"/>
          </rPr>
          <t>Annika Carlsson-Kanyama:</t>
        </r>
        <r>
          <rPr>
            <sz val="9"/>
            <rFont val="Tahoma"/>
            <family val="2"/>
          </rPr>
          <t xml:space="preserve">
Miah et al. 2018. Environmental management of confectionary products: Life cycle impact and improvement strategies. Journal of Cleaner Production 177, 732-752. Suuplementary material Table S1</t>
        </r>
      </text>
    </comment>
    <comment ref="G164" authorId="1">
      <text>
        <r>
          <rPr>
            <b/>
            <sz val="9"/>
            <rFont val="Tahoma"/>
            <family val="2"/>
          </rPr>
          <t>Annika Carlsson-Kanyama:</t>
        </r>
        <r>
          <rPr>
            <sz val="9"/>
            <rFont val="Tahoma"/>
            <family val="2"/>
          </rPr>
          <t xml:space="preserve">
Prices for Haribo nappar as well as packaging. Basic goods from </t>
        </r>
      </text>
    </comment>
    <comment ref="I164" authorId="1">
      <text>
        <r>
          <rPr>
            <b/>
            <sz val="9"/>
            <rFont val="Tahoma"/>
            <family val="2"/>
          </rPr>
          <t>Annika Carlsson-Kanyama:</t>
        </r>
        <r>
          <rPr>
            <sz val="9"/>
            <rFont val="Tahoma"/>
            <family val="2"/>
          </rPr>
          <t xml:space="preserve">
Prices from ICA and COOP 8,5 2019.</t>
        </r>
      </text>
    </comment>
    <comment ref="K164" authorId="1">
      <text>
        <r>
          <rPr>
            <b/>
            <sz val="9"/>
            <rFont val="Tahoma"/>
            <family val="2"/>
          </rPr>
          <t>Annika Carlsson-Kanyama:</t>
        </r>
        <r>
          <rPr>
            <sz val="9"/>
            <rFont val="Tahoma"/>
            <family val="2"/>
          </rPr>
          <t xml:space="preserve">
Miah et al. 2018. Environmental management of confectionary products: Life cycle impact and improvement strategies. Journal of Cleaner Production 177, 732-752. Suuplementary material Table S1</t>
        </r>
      </text>
    </comment>
    <comment ref="I165" authorId="1">
      <text>
        <r>
          <rPr>
            <b/>
            <sz val="9"/>
            <rFont val="Tahoma"/>
            <family val="2"/>
          </rPr>
          <t>Annika Carlsson-Kanyama:</t>
        </r>
        <r>
          <rPr>
            <sz val="9"/>
            <rFont val="Tahoma"/>
            <family val="2"/>
          </rPr>
          <t xml:space="preserve">
Information from ICA 8.5 2019.</t>
        </r>
      </text>
    </comment>
    <comment ref="K165" authorId="1">
      <text>
        <r>
          <rPr>
            <b/>
            <sz val="9"/>
            <rFont val="Tahoma"/>
            <family val="2"/>
          </rPr>
          <t>Annika Carlsson-Kanyama:</t>
        </r>
        <r>
          <rPr>
            <sz val="9"/>
            <rFont val="Tahoma"/>
            <family val="2"/>
          </rPr>
          <t xml:space="preserve">
Information according to ICA by mail i April 2019.</t>
        </r>
      </text>
    </comment>
    <comment ref="I168" authorId="1">
      <text>
        <r>
          <rPr>
            <b/>
            <sz val="9"/>
            <rFont val="Tahoma"/>
            <family val="2"/>
          </rPr>
          <t>Annika Carlsson-Kanyama:</t>
        </r>
        <r>
          <rPr>
            <sz val="9"/>
            <rFont val="Tahoma"/>
            <family val="2"/>
          </rPr>
          <t xml:space="preserve">
Information from ICA online 8.5 2019.</t>
        </r>
      </text>
    </comment>
    <comment ref="K168" authorId="1">
      <text>
        <r>
          <rPr>
            <b/>
            <sz val="9"/>
            <rFont val="Tahoma"/>
            <family val="2"/>
          </rPr>
          <t>Annika Carlsson-Kanyama:</t>
        </r>
        <r>
          <rPr>
            <sz val="9"/>
            <rFont val="Tahoma"/>
            <family val="2"/>
          </rPr>
          <t xml:space="preserve">
ICA customer service 7.5 2019.
</t>
        </r>
      </text>
    </comment>
    <comment ref="I170" authorId="1">
      <text>
        <r>
          <rPr>
            <b/>
            <sz val="9"/>
            <rFont val="Tahoma"/>
            <family val="2"/>
          </rPr>
          <t>Annika Carlsson-Kanyama:</t>
        </r>
        <r>
          <rPr>
            <sz val="9"/>
            <rFont val="Tahoma"/>
            <family val="2"/>
          </rPr>
          <t xml:space="preserve">
Information from ICA online 8.5 2019.</t>
        </r>
      </text>
    </comment>
    <comment ref="K170" authorId="1">
      <text>
        <r>
          <rPr>
            <b/>
            <sz val="9"/>
            <rFont val="Tahoma"/>
            <family val="2"/>
          </rPr>
          <t>Annika Carlsson-Kanyama:</t>
        </r>
        <r>
          <rPr>
            <sz val="9"/>
            <rFont val="Tahoma"/>
            <family val="2"/>
          </rPr>
          <t xml:space="preserve">
Information according to ICA by mail i April 2019.</t>
        </r>
      </text>
    </comment>
    <comment ref="I184" authorId="0">
      <text>
        <r>
          <rPr>
            <b/>
            <sz val="10"/>
            <color indexed="8"/>
            <rFont val="Tahoma"/>
            <family val="2"/>
          </rPr>
          <t>Microsoft Office User:</t>
        </r>
        <r>
          <rPr>
            <sz val="10"/>
            <color indexed="8"/>
            <rFont val="Tahoma"/>
            <family val="2"/>
          </rPr>
          <t xml:space="preserve">
</t>
        </r>
        <r>
          <rPr>
            <sz val="10"/>
            <color indexed="8"/>
            <rFont val="Tahoma"/>
            <family val="2"/>
          </rPr>
          <t>Prices collected at ICA and COOP in april 2019.</t>
        </r>
      </text>
    </comment>
    <comment ref="K184" authorId="1">
      <text>
        <r>
          <rPr>
            <b/>
            <sz val="9"/>
            <rFont val="Tahoma"/>
            <family val="2"/>
          </rPr>
          <t>Annika Carlsson-Kanyam
http://www.thecoffeeguide.org/coffee-guide/world-coffee-trade/conversions-and-statistics/
13.5 2019</t>
        </r>
      </text>
    </comment>
    <comment ref="N184" authorId="1">
      <text>
        <r>
          <rPr>
            <b/>
            <sz val="9"/>
            <rFont val="Tahoma"/>
            <family val="2"/>
          </rPr>
          <t>Annika Carlsson-Kanyama:</t>
        </r>
        <r>
          <rPr>
            <sz val="9"/>
            <rFont val="Tahoma"/>
            <family val="2"/>
          </rPr>
          <t xml:space="preserve">
Information from https://www.lofbergs.se/vart-kaffe/bryggkaffe/mellanrost/ 13.5 2019</t>
        </r>
      </text>
    </comment>
    <comment ref="G185" authorId="1">
      <text>
        <r>
          <rPr>
            <b/>
            <sz val="9"/>
            <rFont val="Tahoma"/>
            <family val="2"/>
          </rPr>
          <t>Annika Carlsson-Kanyama:</t>
        </r>
        <r>
          <rPr>
            <sz val="9"/>
            <rFont val="Tahoma"/>
            <family val="2"/>
          </rPr>
          <t xml:space="preserve">
Information from the packaging.</t>
        </r>
      </text>
    </comment>
    <comment ref="I185" authorId="1">
      <text>
        <r>
          <rPr>
            <b/>
            <sz val="9"/>
            <rFont val="Tahoma"/>
            <family val="2"/>
          </rPr>
          <t>Annika Carlsson-Kanyama:</t>
        </r>
        <r>
          <rPr>
            <sz val="9"/>
            <rFont val="Tahoma"/>
            <family val="2"/>
          </rPr>
          <t xml:space="preserve">
COOP and ICA 13.5 2019 </t>
        </r>
      </text>
    </comment>
    <comment ref="K185" authorId="1">
      <text>
        <r>
          <rPr>
            <b/>
            <sz val="9"/>
            <rFont val="Tahoma"/>
            <family val="2"/>
          </rPr>
          <t>Annika Carlsson-Kanyama:</t>
        </r>
        <r>
          <rPr>
            <sz val="9"/>
            <rFont val="Tahoma"/>
            <family val="2"/>
          </rPr>
          <t xml:space="preserve">
http://www.madehow.com/Volume-2/Tea-bag.html. 13.5 2019. This does not say anything about losses so we assumed a 1 to 1 relationship.
</t>
        </r>
      </text>
    </comment>
    <comment ref="M185" authorId="1">
      <text>
        <r>
          <rPr>
            <b/>
            <sz val="9"/>
            <rFont val="Tahoma"/>
            <family val="2"/>
          </rPr>
          <t>Annika Carlsson-Kanyama:</t>
        </r>
        <r>
          <rPr>
            <sz val="9"/>
            <rFont val="Tahoma"/>
            <family val="2"/>
          </rPr>
          <t xml:space="preserve">
Unilvever customer service 13.5 2019.</t>
        </r>
      </text>
    </comment>
    <comment ref="I188" authorId="1">
      <text>
        <r>
          <rPr>
            <b/>
            <sz val="9"/>
            <rFont val="Tahoma"/>
            <family val="2"/>
          </rPr>
          <t>Annika Carlsson-Kanyama:</t>
        </r>
        <r>
          <rPr>
            <sz val="9"/>
            <rFont val="Tahoma"/>
            <family val="2"/>
          </rPr>
          <t xml:space="preserve">
Prices from ICA and COOP 13.5 2019.</t>
        </r>
      </text>
    </comment>
    <comment ref="I189" authorId="1">
      <text>
        <r>
          <rPr>
            <b/>
            <sz val="9"/>
            <rFont val="Tahoma"/>
            <family val="2"/>
          </rPr>
          <t>Annika Carlsson-Kanyama:</t>
        </r>
        <r>
          <rPr>
            <sz val="9"/>
            <rFont val="Tahoma"/>
            <family val="2"/>
          </rPr>
          <t xml:space="preserve">
Price from ICA 13.5 2019.</t>
        </r>
      </text>
    </comment>
    <comment ref="I190" authorId="1">
      <text>
        <r>
          <rPr>
            <b/>
            <sz val="9"/>
            <rFont val="Tahoma"/>
            <family val="2"/>
          </rPr>
          <t>Annika Carlsson-Kanyama:</t>
        </r>
        <r>
          <rPr>
            <sz val="9"/>
            <rFont val="Tahoma"/>
            <family val="2"/>
          </rPr>
          <t xml:space="preserve">
Prices from ICA adn COOP 13.5 2019.</t>
        </r>
      </text>
    </comment>
    <comment ref="K190" authorId="1">
      <text>
        <r>
          <rPr>
            <b/>
            <sz val="9"/>
            <rFont val="Tahoma"/>
            <family val="2"/>
          </rPr>
          <t>Annika Carlsson-Kanyama:</t>
        </r>
        <r>
          <rPr>
            <sz val="9"/>
            <rFont val="Tahoma"/>
            <family val="2"/>
          </rPr>
          <t xml:space="preserve">
Gomorron customer service 21.5 2019.</t>
        </r>
      </text>
    </comment>
    <comment ref="I197" authorId="1">
      <text>
        <r>
          <rPr>
            <b/>
            <sz val="9"/>
            <rFont val="Tahoma"/>
            <family val="2"/>
          </rPr>
          <t>Annika Carlsson-Kanyama:</t>
        </r>
        <r>
          <rPr>
            <sz val="9"/>
            <rFont val="Tahoma"/>
            <family val="2"/>
          </rPr>
          <t xml:space="preserve">
Information from ICA and COOP 17.6 2019.</t>
        </r>
      </text>
    </comment>
    <comment ref="I198" authorId="1">
      <text>
        <r>
          <rPr>
            <b/>
            <sz val="9"/>
            <rFont val="Tahoma"/>
            <family val="2"/>
          </rPr>
          <t>Annika Carlsson-Kanyama:</t>
        </r>
        <r>
          <rPr>
            <sz val="9"/>
            <rFont val="Tahoma"/>
            <family val="2"/>
          </rPr>
          <t xml:space="preserve">
Information from ICA and COOP 17.6 2019.</t>
        </r>
      </text>
    </comment>
    <comment ref="K198" authorId="1">
      <text>
        <r>
          <rPr>
            <b/>
            <sz val="9"/>
            <rFont val="Tahoma"/>
            <family val="2"/>
          </rPr>
          <t>Annika Carlsson-Kanyama:</t>
        </r>
        <r>
          <rPr>
            <sz val="9"/>
            <rFont val="Tahoma"/>
            <family val="2"/>
          </rPr>
          <t xml:space="preserve">
Information from packaging and Anammas consumer desk 17.6 2019</t>
        </r>
      </text>
    </comment>
    <comment ref="I199" authorId="1">
      <text>
        <r>
          <rPr>
            <b/>
            <sz val="9"/>
            <rFont val="Tahoma"/>
            <family val="2"/>
          </rPr>
          <t>Annika Carlsson-Kanyama:</t>
        </r>
        <r>
          <rPr>
            <sz val="9"/>
            <rFont val="Tahoma"/>
            <family val="2"/>
          </rPr>
          <t xml:space="preserve">
Information from ICA and COOP 17.6 2019.</t>
        </r>
      </text>
    </comment>
    <comment ref="K199" authorId="1">
      <text>
        <r>
          <rPr>
            <b/>
            <sz val="9"/>
            <rFont val="Tahoma"/>
            <family val="2"/>
          </rPr>
          <t>Annika Carlsson-Kanyama:</t>
        </r>
        <r>
          <rPr>
            <sz val="9"/>
            <rFont val="Tahoma"/>
            <family val="2"/>
          </rPr>
          <t xml:space="preserve">
Information from packaging an Findus consumer desk 17.6 2019</t>
        </r>
      </text>
    </comment>
    <comment ref="I200" authorId="1">
      <text>
        <r>
          <rPr>
            <b/>
            <sz val="9"/>
            <rFont val="Tahoma"/>
            <family val="2"/>
          </rPr>
          <t>Annika Carlsson-Kanyama:</t>
        </r>
        <r>
          <rPr>
            <sz val="9"/>
            <rFont val="Tahoma"/>
            <family val="2"/>
          </rPr>
          <t xml:space="preserve">
Information from ICA and COOP 17.6 2019.</t>
        </r>
      </text>
    </comment>
    <comment ref="K200" authorId="1">
      <text>
        <r>
          <rPr>
            <b/>
            <sz val="9"/>
            <rFont val="Tahoma"/>
            <family val="2"/>
          </rPr>
          <t>Annika Carlsson-Kanyama:</t>
        </r>
        <r>
          <rPr>
            <sz val="9"/>
            <rFont val="Tahoma"/>
            <family val="2"/>
          </rPr>
          <t xml:space="preserve">
Information from packaging 17.6 2019</t>
        </r>
      </text>
    </comment>
    <comment ref="I201" authorId="1">
      <text>
        <r>
          <rPr>
            <b/>
            <sz val="9"/>
            <rFont val="Tahoma"/>
            <family val="2"/>
          </rPr>
          <t>Annika Carlsson-Kanyama:</t>
        </r>
        <r>
          <rPr>
            <sz val="9"/>
            <rFont val="Tahoma"/>
            <family val="2"/>
          </rPr>
          <t xml:space="preserve">
Information from ICA and COOP 17.6 2019.</t>
        </r>
      </text>
    </comment>
    <comment ref="K201" authorId="1">
      <text>
        <r>
          <rPr>
            <b/>
            <sz val="9"/>
            <rFont val="Tahoma"/>
            <family val="2"/>
          </rPr>
          <t>Annika Carlsson-Kanyama:</t>
        </r>
        <r>
          <rPr>
            <sz val="9"/>
            <rFont val="Tahoma"/>
            <family val="2"/>
          </rPr>
          <t xml:space="preserve">
Information from packaging 17.6 2019</t>
        </r>
      </text>
    </comment>
    <comment ref="I206" authorId="0">
      <text>
        <r>
          <rPr>
            <b/>
            <sz val="10"/>
            <color indexed="8"/>
            <rFont val="Tahoma"/>
            <family val="2"/>
          </rPr>
          <t>Microsoft Office User:</t>
        </r>
        <r>
          <rPr>
            <sz val="10"/>
            <color indexed="8"/>
            <rFont val="Tahoma"/>
            <family val="2"/>
          </rPr>
          <t xml:space="preserve">
</t>
        </r>
        <r>
          <rPr>
            <sz val="10"/>
            <color indexed="8"/>
            <rFont val="Tahoma"/>
            <family val="2"/>
          </rPr>
          <t>Information from Mathem.se, june 2019.</t>
        </r>
      </text>
    </comment>
    <comment ref="I207" authorId="1">
      <text>
        <r>
          <rPr>
            <b/>
            <sz val="9"/>
            <rFont val="Tahoma"/>
            <family val="2"/>
          </rPr>
          <t>Annika Carlsson-Kanyama:</t>
        </r>
        <r>
          <rPr>
            <sz val="9"/>
            <rFont val="Tahoma"/>
            <family val="2"/>
          </rPr>
          <t xml:space="preserve">
Informaion from https://www.linnesmathus.se/ 17.6 2019.</t>
        </r>
      </text>
    </comment>
    <comment ref="I208" authorId="1">
      <text>
        <r>
          <rPr>
            <b/>
            <sz val="9"/>
            <rFont val="Tahoma"/>
            <family val="2"/>
          </rPr>
          <t>Annika Carlsson-Kanyama:</t>
        </r>
        <r>
          <rPr>
            <sz val="9"/>
            <rFont val="Tahoma"/>
            <family val="2"/>
          </rPr>
          <t xml:space="preserve">
https://www.mathem.se/varor/salladsmix/sallad-smabladsmix-65g-eko-klass1 17.6 2019.</t>
        </r>
      </text>
    </comment>
    <comment ref="B214" authorId="1">
      <text>
        <r>
          <rPr>
            <b/>
            <sz val="9"/>
            <color indexed="8"/>
            <rFont val="Tahoma"/>
            <family val="2"/>
          </rPr>
          <t>Annika Carlsson-Kanyama:</t>
        </r>
        <r>
          <rPr>
            <sz val="9"/>
            <color indexed="8"/>
            <rFont val="Tahoma"/>
            <family val="2"/>
          </rPr>
          <t xml:space="preserve">
https://www.tridge.com/search?q=rye 14.5 2019
</t>
        </r>
      </text>
    </comment>
    <comment ref="D214" authorId="0">
      <text>
        <r>
          <rPr>
            <b/>
            <sz val="10"/>
            <color indexed="8"/>
            <rFont val="Tahoma"/>
            <family val="2"/>
          </rPr>
          <t>Microsoft Office User:</t>
        </r>
        <r>
          <rPr>
            <sz val="10"/>
            <color indexed="8"/>
            <rFont val="Tahoma"/>
            <family val="2"/>
          </rPr>
          <t xml:space="preserve">
</t>
        </r>
        <r>
          <rPr>
            <sz val="10"/>
            <color indexed="8"/>
            <rFont val="Tahoma"/>
            <family val="2"/>
          </rPr>
          <t xml:space="preserve">Information from Lögens kvarn via mail, april 2019.
</t>
        </r>
        <r>
          <rPr>
            <sz val="10"/>
            <color indexed="8"/>
            <rFont val="Tahoma"/>
            <family val="2"/>
          </rPr>
          <t>https://www.logen.se/malningsprocessen/</t>
        </r>
      </text>
    </comment>
    <comment ref="B215" authorId="1">
      <text>
        <r>
          <rPr>
            <b/>
            <sz val="9"/>
            <rFont val="Tahoma"/>
            <family val="2"/>
          </rPr>
          <t>Annika Carlsson-Kanyama:</t>
        </r>
        <r>
          <rPr>
            <sz val="9"/>
            <rFont val="Tahoma"/>
            <family val="2"/>
          </rPr>
          <t xml:space="preserve">
https://www.tridge.com/intelligences/wheat-flour/price 14.5 2019</t>
        </r>
      </text>
    </comment>
    <comment ref="B216" authorId="1">
      <text>
        <r>
          <rPr>
            <b/>
            <sz val="9"/>
            <rFont val="Tahoma"/>
            <family val="2"/>
          </rPr>
          <t>Annika Carlsson-Kanyama:</t>
        </r>
        <r>
          <rPr>
            <sz val="9"/>
            <rFont val="Tahoma"/>
            <family val="2"/>
          </rPr>
          <t xml:space="preserve">
https://www.indiamart.com/proddetail/quick-oats-flakes-8845723812.html 31.5 2019</t>
        </r>
      </text>
    </comment>
    <comment ref="D216" authorId="1">
      <text>
        <r>
          <rPr>
            <b/>
            <sz val="9"/>
            <color indexed="8"/>
            <rFont val="Tahoma"/>
            <family val="2"/>
          </rPr>
          <t>Annika Carlsson-Kanyama:</t>
        </r>
        <r>
          <rPr>
            <sz val="9"/>
            <color indexed="8"/>
            <rFont val="Tahoma"/>
            <family val="2"/>
          </rPr>
          <t xml:space="preserve">
</t>
        </r>
        <r>
          <rPr>
            <sz val="9"/>
            <color indexed="8"/>
            <rFont val="Tahoma"/>
            <family val="2"/>
          </rPr>
          <t>Infomation from Saltå kvarn 22.4 2019</t>
        </r>
      </text>
    </comment>
    <comment ref="D217" authorId="1">
      <text>
        <r>
          <rPr>
            <b/>
            <sz val="9"/>
            <color indexed="8"/>
            <rFont val="Tahoma"/>
            <family val="2"/>
          </rPr>
          <t>Annika Carlsson-Kanyama:</t>
        </r>
        <r>
          <rPr>
            <sz val="9"/>
            <color indexed="8"/>
            <rFont val="Tahoma"/>
            <family val="2"/>
          </rPr>
          <t xml:space="preserve">
</t>
        </r>
        <r>
          <rPr>
            <sz val="9"/>
            <color indexed="8"/>
            <rFont val="Tahoma"/>
            <family val="2"/>
          </rPr>
          <t xml:space="preserve">https://greenpalm.org/about-palm-oil/what-is-palm-oil
</t>
        </r>
        <r>
          <rPr>
            <sz val="9"/>
            <color indexed="8"/>
            <rFont val="Tahoma"/>
            <family val="2"/>
          </rPr>
          <t>https://www.wwf.org.uk/updates/8-things-know-about-palm-oil</t>
        </r>
      </text>
    </comment>
    <comment ref="D218" authorId="1">
      <text>
        <r>
          <rPr>
            <b/>
            <sz val="9"/>
            <color indexed="8"/>
            <rFont val="Tahoma"/>
            <family val="2"/>
          </rPr>
          <t>Annika Carlsson-Kanyama:</t>
        </r>
        <r>
          <rPr>
            <sz val="9"/>
            <color indexed="8"/>
            <rFont val="Tahoma"/>
            <family val="2"/>
          </rPr>
          <t xml:space="preserve">
</t>
        </r>
        <r>
          <rPr>
            <sz val="9"/>
            <color indexed="8"/>
            <rFont val="Tahoma"/>
            <family val="2"/>
          </rPr>
          <t>Information from Nordic sugar 22.4 2019. 7-8 beets of around 700 grams each for one kg of sugar</t>
        </r>
      </text>
    </comment>
    <comment ref="D219" authorId="1">
      <text>
        <r>
          <rPr>
            <b/>
            <sz val="9"/>
            <color indexed="8"/>
            <rFont val="Tahoma"/>
            <family val="2"/>
          </rPr>
          <t>Annika Carlsson-Kanyama:</t>
        </r>
        <r>
          <rPr>
            <sz val="9"/>
            <color indexed="8"/>
            <rFont val="Tahoma"/>
            <family val="2"/>
          </rPr>
          <t xml:space="preserve">
</t>
        </r>
        <r>
          <rPr>
            <sz val="9"/>
            <color indexed="8"/>
            <rFont val="Tahoma"/>
            <family val="2"/>
          </rPr>
          <t>Infomation from Saltå kvarn 22.4 2019</t>
        </r>
      </text>
    </comment>
    <comment ref="C220" authorId="1">
      <text>
        <r>
          <rPr>
            <b/>
            <sz val="9"/>
            <rFont val="Tahoma"/>
            <family val="2"/>
          </rPr>
          <t>Annika Carlsson-Kanyama:</t>
        </r>
        <r>
          <rPr>
            <sz val="9"/>
            <rFont val="Tahoma"/>
            <family val="2"/>
          </rPr>
          <t xml:space="preserve">
EAP producer prices file</t>
        </r>
      </text>
    </comment>
    <comment ref="D220" authorId="1">
      <text>
        <r>
          <rPr>
            <b/>
            <sz val="9"/>
            <color indexed="8"/>
            <rFont val="Tahoma"/>
            <family val="2"/>
          </rPr>
          <t>Annika Carlsson-Kanyama:</t>
        </r>
        <r>
          <rPr>
            <sz val="9"/>
            <color indexed="8"/>
            <rFont val="Tahoma"/>
            <family val="2"/>
          </rPr>
          <t xml:space="preserve">
</t>
        </r>
        <r>
          <rPr>
            <sz val="9"/>
            <color indexed="8"/>
            <rFont val="Tahoma"/>
            <family val="2"/>
          </rPr>
          <t>According to Zeta customer service 22.4 2019</t>
        </r>
      </text>
    </comment>
    <comment ref="F220" authorId="1">
      <text>
        <r>
          <rPr>
            <b/>
            <sz val="9"/>
            <rFont val="Tahoma"/>
            <family val="2"/>
          </rPr>
          <t>Annika Carlsson-Kanyama:</t>
        </r>
        <r>
          <rPr>
            <sz val="9"/>
            <rFont val="Tahoma"/>
            <family val="2"/>
          </rPr>
          <t xml:space="preserve">
According to Zeta customer service 22.4 2019</t>
        </r>
      </text>
    </comment>
    <comment ref="G220" authorId="1">
      <text>
        <r>
          <rPr>
            <b/>
            <sz val="9"/>
            <rFont val="Tahoma"/>
            <family val="2"/>
          </rPr>
          <t>Annika Carlsson-Kanyama:</t>
        </r>
        <r>
          <rPr>
            <sz val="9"/>
            <rFont val="Tahoma"/>
            <family val="2"/>
          </rPr>
          <t xml:space="preserve">
According to Zeta customer service 22.4 2019</t>
        </r>
      </text>
    </comment>
    <comment ref="C221" authorId="1">
      <text>
        <r>
          <rPr>
            <b/>
            <sz val="9"/>
            <rFont val="Tahoma"/>
            <family val="2"/>
          </rPr>
          <t>Annika Carlsson-Kanyama:</t>
        </r>
        <r>
          <rPr>
            <sz val="9"/>
            <rFont val="Tahoma"/>
            <family val="2"/>
          </rPr>
          <t xml:space="preserve">
EAP producer prices file</t>
        </r>
      </text>
    </comment>
    <comment ref="D221" authorId="1">
      <text>
        <r>
          <rPr>
            <b/>
            <sz val="9"/>
            <rFont val="Tahoma"/>
            <family val="2"/>
          </rPr>
          <t>Annika Carlsson-Kanyama:</t>
        </r>
        <r>
          <rPr>
            <sz val="9"/>
            <rFont val="Tahoma"/>
            <family val="2"/>
          </rPr>
          <t xml:space="preserve">
According to Svensk raps at http://www.svenskraps.se/oljevaxt/index.asp on the 22.4 2019, there is 45% oil in rape seed and almost all can be extracted. The rest is used for animal fodder. 60 % of the value is from the oil.
</t>
        </r>
      </text>
    </comment>
    <comment ref="F221" authorId="1">
      <text>
        <r>
          <rPr>
            <b/>
            <sz val="9"/>
            <rFont val="Tahoma"/>
            <family val="2"/>
          </rPr>
          <t>Annika Carlsson-Kanyama:</t>
        </r>
        <r>
          <rPr>
            <sz val="9"/>
            <rFont val="Tahoma"/>
            <family val="2"/>
          </rPr>
          <t xml:space="preserve">
According to Zeta customer service 22.4 2019</t>
        </r>
      </text>
    </comment>
    <comment ref="G221" authorId="1">
      <text>
        <r>
          <rPr>
            <b/>
            <sz val="9"/>
            <rFont val="Tahoma"/>
            <family val="2"/>
          </rPr>
          <t>Annika Carlsson-Kanyama:</t>
        </r>
        <r>
          <rPr>
            <sz val="9"/>
            <rFont val="Tahoma"/>
            <family val="2"/>
          </rPr>
          <t xml:space="preserve">
According to Zeta customer service 22.4 2019</t>
        </r>
      </text>
    </comment>
    <comment ref="B222" authorId="1">
      <text>
        <r>
          <rPr>
            <b/>
            <sz val="9"/>
            <rFont val="Tahoma"/>
            <family val="2"/>
          </rPr>
          <t>Annika Carlsson-Kanyama:</t>
        </r>
        <r>
          <rPr>
            <sz val="9"/>
            <rFont val="Tahoma"/>
            <family val="2"/>
          </rPr>
          <t xml:space="preserve">
https://salmonprice.nasdaqomxtrader.com/public/report;jsessionid=EBB20D3D188ABEAC9E84D27D93AB6F0B?0 25.4 2019</t>
        </r>
      </text>
    </comment>
    <comment ref="D222" authorId="1">
      <text>
        <r>
          <rPr>
            <b/>
            <sz val="9"/>
            <rFont val="Tahoma"/>
            <family val="2"/>
          </rPr>
          <t>Annika Carlsson-Kanyama:</t>
        </r>
        <r>
          <rPr>
            <sz val="9"/>
            <rFont val="Tahoma"/>
            <family val="2"/>
          </rPr>
          <t xml:space="preserve">
From live weight to gutted weight</t>
        </r>
      </text>
    </comment>
    <comment ref="J222" authorId="1">
      <text>
        <r>
          <rPr>
            <b/>
            <sz val="9"/>
            <rFont val="Tahoma"/>
            <family val="2"/>
          </rPr>
          <t>Annika Carlsson-Kanyama:</t>
        </r>
        <r>
          <rPr>
            <sz val="9"/>
            <rFont val="Tahoma"/>
            <family val="2"/>
          </rPr>
          <t xml:space="preserve">
From Not All Salmon Are Created Equal:
Life Cycle Assessment (LCA) of
Global Salmon Farming Systems
N A T H A N P E L L E T I E R , † , *
P E T E R T Y E D M E R S , † U L F S O N E S S O N , ‡
A S T R I D S C H O L Z , § F R I E D E R I K E Z I E G L E R , ‡
A N N A F L Y S J O , ‡ S A R A H K R U S E , §
B E A T R I Z C A N C I N O , ⊥ A N D
HOWARD S I L V E R M A N</t>
        </r>
      </text>
    </comment>
    <comment ref="C223" authorId="1">
      <text>
        <r>
          <rPr>
            <b/>
            <sz val="9"/>
            <rFont val="Tahoma"/>
            <family val="2"/>
          </rPr>
          <t>Annika Carlsson-Kanyama:</t>
        </r>
        <r>
          <rPr>
            <sz val="9"/>
            <rFont val="Tahoma"/>
            <family val="2"/>
          </rPr>
          <t xml:space="preserve">
https://www.clal.it/en/index.php?section=burro_west_east 13.5 2019, Prices for 2016. Exchange rates from Sveriges Riksbank for 2016.</t>
        </r>
      </text>
    </comment>
    <comment ref="B224" authorId="1">
      <text>
        <r>
          <rPr>
            <b/>
            <sz val="9"/>
            <rFont val="Tahoma"/>
            <family val="2"/>
          </rPr>
          <t>Annika Carlsson-Kanyama:</t>
        </r>
        <r>
          <rPr>
            <sz val="9"/>
            <rFont val="Tahoma"/>
            <family val="2"/>
          </rPr>
          <t xml:space="preserve">
14 rps for 0.2 kg according to https://www.indiamart.com/proddetail/italian-penne-pasta-20296973955.html. Exchange rate from Sveriges Riksbank 23.5 2019.</t>
        </r>
      </text>
    </comment>
    <comment ref="D224" authorId="0">
      <text>
        <r>
          <rPr>
            <b/>
            <sz val="10"/>
            <color indexed="8"/>
            <rFont val="Tahoma"/>
            <family val="2"/>
          </rPr>
          <t>Microsoft Office User:</t>
        </r>
        <r>
          <rPr>
            <sz val="10"/>
            <color indexed="8"/>
            <rFont val="Tahoma"/>
            <family val="2"/>
          </rPr>
          <t xml:space="preserve">
</t>
        </r>
        <r>
          <rPr>
            <sz val="10"/>
            <color indexed="8"/>
            <rFont val="Tahoma"/>
            <family val="2"/>
          </rPr>
          <t>Information from Barilla via mail, april 2019.</t>
        </r>
      </text>
    </comment>
    <comment ref="C225" authorId="1">
      <text>
        <r>
          <rPr>
            <b/>
            <sz val="9"/>
            <rFont val="Tahoma"/>
            <family val="2"/>
          </rPr>
          <t>Annika Carlsson-Kanyama:</t>
        </r>
        <r>
          <rPr>
            <sz val="9"/>
            <rFont val="Tahoma"/>
            <family val="2"/>
          </rPr>
          <t xml:space="preserve">
EAP producer prices file</t>
        </r>
      </text>
    </comment>
    <comment ref="D225" authorId="1">
      <text>
        <r>
          <rPr>
            <b/>
            <sz val="9"/>
            <rFont val="Tahoma"/>
            <family val="2"/>
          </rPr>
          <t>Annika Carlsson-Kanyama:</t>
        </r>
        <r>
          <rPr>
            <sz val="9"/>
            <rFont val="Tahoma"/>
            <family val="2"/>
          </rPr>
          <t xml:space="preserve">
https://www.quora.com/If-8kgs-of-seeds-are-needed-to-make-one-liter-of-oil-and-sunflower-seeds-cost-30-rupees-per-kg-how-is-it-possible-to-sell-sunflower-oil-below-100-rupees 13.5 2919</t>
        </r>
      </text>
    </comment>
    <comment ref="F225" authorId="1">
      <text>
        <r>
          <rPr>
            <b/>
            <sz val="9"/>
            <rFont val="Tahoma"/>
            <family val="2"/>
          </rPr>
          <t>Annika Carlsson-Kanyama:</t>
        </r>
        <r>
          <rPr>
            <sz val="9"/>
            <rFont val="Tahoma"/>
            <family val="2"/>
          </rPr>
          <t xml:space="preserve">
https://www.sunflowernsa.com/stats/world-supply/ 13.5 2919. Ulkraina is the worlds largets produver of sunflower oil.</t>
        </r>
      </text>
    </comment>
    <comment ref="B226" authorId="1">
      <text>
        <r>
          <rPr>
            <b/>
            <sz val="9"/>
            <rFont val="Tahoma"/>
            <family val="2"/>
          </rPr>
          <t>Annika Carlsson-Kanyama:</t>
        </r>
        <r>
          <rPr>
            <sz val="9"/>
            <rFont val="Tahoma"/>
            <family val="2"/>
          </rPr>
          <t xml:space="preserve">
https://www.alibaba.com/showroom/glucose-fructose-syrup-price.html 13.5 2019.</t>
        </r>
      </text>
    </comment>
    <comment ref="D226" authorId="1">
      <text>
        <r>
          <rPr>
            <b/>
            <sz val="9"/>
            <rFont val="Tahoma"/>
            <family val="2"/>
          </rPr>
          <t>Annika Carlsson-Kanyama:</t>
        </r>
        <r>
          <rPr>
            <sz val="9"/>
            <rFont val="Tahoma"/>
            <family val="2"/>
          </rPr>
          <t xml:space="preserve">
Information Starch.eu 31.5 2019.</t>
        </r>
      </text>
    </comment>
    <comment ref="B227" authorId="1">
      <text>
        <r>
          <rPr>
            <b/>
            <sz val="9"/>
            <rFont val="Tahoma"/>
            <family val="2"/>
          </rPr>
          <t>Annika Carlsson-Kanyama:</t>
        </r>
        <r>
          <rPr>
            <sz val="9"/>
            <rFont val="Tahoma"/>
            <family val="2"/>
          </rPr>
          <t xml:space="preserve">
https://www.alibaba.com/product-detail/Canned-tomato-paste-2200g-brix-28_60732513746.html?spm=a2700.7735675.normalList.3.LwMamS&amp;s=p 14.5 2019.</t>
        </r>
      </text>
    </comment>
    <comment ref="D227" authorId="1">
      <text>
        <r>
          <rPr>
            <b/>
            <sz val="9"/>
            <rFont val="Tahoma"/>
            <family val="2"/>
          </rPr>
          <t>Annika Carlsson-Kanyama:</t>
        </r>
        <r>
          <rPr>
            <sz val="9"/>
            <rFont val="Tahoma"/>
            <family val="2"/>
          </rPr>
          <t xml:space="preserve">
http://www.felix.se/produkter/tomatpure-i-tub-300-g/?gclid=CjwKCAjw8e7mBRBsEiwAPVxxiMxzv6uo5w_8OA2MdMb6f1octHqpeZGjM_INIl3KcikDlpaJVYL3oxoClSkQAvD_BwE 15.5 2019</t>
        </r>
      </text>
    </comment>
    <comment ref="G227" authorId="1">
      <text>
        <r>
          <rPr>
            <b/>
            <sz val="9"/>
            <rFont val="Tahoma"/>
            <family val="2"/>
          </rPr>
          <t>Annika Carlsson-Kanyama:</t>
        </r>
        <r>
          <rPr>
            <sz val="9"/>
            <rFont val="Tahoma"/>
            <family val="2"/>
          </rPr>
          <t xml:space="preserve">
http://www.tomatonews.com/en/background_47.html 15.5 2019.</t>
        </r>
      </text>
    </comment>
    <comment ref="B228" authorId="1">
      <text>
        <r>
          <rPr>
            <b/>
            <sz val="9"/>
            <rFont val="Tahoma"/>
            <family val="2"/>
          </rPr>
          <t>Annika Carlsson-Kanyama:</t>
        </r>
        <r>
          <rPr>
            <sz val="9"/>
            <rFont val="Tahoma"/>
            <family val="2"/>
          </rPr>
          <t xml:space="preserve">
https://www.alibaba.com/product-detail/Wholesale-Flour-Prices-Potato-Modified-Starch_1865350590.html?spm=a2700.7724838.2017115.10.6122edc8BH2u3d&amp;s=p 15.5 2019.</t>
        </r>
      </text>
    </comment>
    <comment ref="D228" authorId="1">
      <text>
        <r>
          <rPr>
            <b/>
            <sz val="9"/>
            <rFont val="Tahoma"/>
            <family val="2"/>
          </rPr>
          <t>Annika Carlsson-Kanyama:</t>
        </r>
        <r>
          <rPr>
            <sz val="9"/>
            <rFont val="Tahoma"/>
            <family val="2"/>
          </rPr>
          <t xml:space="preserve">
https://www.tereos-starchsweeteners.com/understand-our-business/list/raw-materials/potato 15.5 2019</t>
        </r>
      </text>
    </comment>
    <comment ref="B229" authorId="1">
      <text>
        <r>
          <rPr>
            <b/>
            <sz val="9"/>
            <rFont val="Tahoma"/>
            <family val="2"/>
          </rPr>
          <t>Annika Carlsson-Kanyama:</t>
        </r>
        <r>
          <rPr>
            <sz val="9"/>
            <rFont val="Tahoma"/>
            <family val="2"/>
          </rPr>
          <t xml:space="preserve">
https://www.alibaba.com/premium/orange_concentrate.html?src=sem_ggl&amp;cmpgn=992215114&amp;adgrp=50652253620&amp;fditm=&amp;tgt=kwd-311058328033&amp;locintrst=&amp;locphyscl=9062457&amp;mtchtyp=b&amp;ntwrk=g&amp;device=c&amp;dvcmdl=&amp;creative=238869201566&amp;plcmnt=&amp;plcmntcat=&amp;p1=&amp;p2=&amp;aceid=&amp;position=1o1&amp;gclid=Cj0KCQjwzunmBRDsARIsAGrt4msH1nEcHfNkPBebU6kvE4KsZkJHjF-VFjO5hsLEwFjSAu8eHKdTGCcaAix1EALw_wcB 13.5 2019.</t>
        </r>
      </text>
    </comment>
    <comment ref="D229" authorId="1">
      <text>
        <r>
          <rPr>
            <b/>
            <sz val="9"/>
            <rFont val="Tahoma"/>
            <family val="2"/>
          </rPr>
          <t>Annika Carlsson-Kanyama:</t>
        </r>
        <r>
          <rPr>
            <sz val="9"/>
            <rFont val="Tahoma"/>
            <family val="2"/>
          </rPr>
          <t xml:space="preserve">
https://www.coop.se/handla-online/varor/dryck/juice-mjolkdryck/koncentrerad-juice/16446473-jo-ananasapelsin-juicekoncentrat/ 13.5 2019.
</t>
        </r>
      </text>
    </comment>
    <comment ref="B230" authorId="1">
      <text>
        <r>
          <rPr>
            <b/>
            <sz val="9"/>
            <rFont val="Tahoma"/>
            <family val="2"/>
          </rPr>
          <t>Annika Carlsson-Kanyama:</t>
        </r>
        <r>
          <rPr>
            <sz val="9"/>
            <rFont val="Tahoma"/>
            <family val="2"/>
          </rPr>
          <t xml:space="preserve">
https://www.alibaba.com/product-detail/Factory-Price-Soy-Protein-Isolated-For_60768539487.html?spm=a2700.7724857.normalList.39.4ab92e0d8uXo6x 14.5 2109.</t>
        </r>
      </text>
    </comment>
    <comment ref="D230" authorId="1">
      <text>
        <r>
          <rPr>
            <b/>
            <sz val="9"/>
            <rFont val="Tahoma"/>
            <family val="2"/>
          </rPr>
          <t>Annika Carlsson-Kanyama:</t>
        </r>
        <r>
          <rPr>
            <sz val="9"/>
            <rFont val="Tahoma"/>
            <family val="2"/>
          </rPr>
          <t xml:space="preserve">
Orkla customer service 15.5 2019.</t>
        </r>
      </text>
    </comment>
    <comment ref="B231" authorId="1">
      <text>
        <r>
          <rPr>
            <b/>
            <sz val="9"/>
            <rFont val="Tahoma"/>
            <family val="2"/>
          </rPr>
          <t>Annika Carlsson-Kanyama:</t>
        </r>
        <r>
          <rPr>
            <sz val="9"/>
            <rFont val="Tahoma"/>
            <family val="2"/>
          </rPr>
          <t xml:space="preserve">
https://www.alibaba.com/product-detail/Pea-Protein-Organic-Pea-Protein-Pea_60186321299.html?spm=a2700.7724838.2017115.1.f84560c1qCcz75&amp;s=p 15.5 2019.</t>
        </r>
      </text>
    </comment>
    <comment ref="D231" authorId="1">
      <text>
        <r>
          <rPr>
            <b/>
            <sz val="9"/>
            <rFont val="Tahoma"/>
            <family val="2"/>
          </rPr>
          <t>Annika Carlsson-Kanyama:</t>
        </r>
        <r>
          <rPr>
            <sz val="9"/>
            <rFont val="Tahoma"/>
            <family val="2"/>
          </rPr>
          <t xml:space="preserve">
https://www.myprotein.se/kosttillskott/pea-protein-isolate/10530136.html?affil=thggpsad&amp;switchcurrency=SEK&amp;shippingcountry=SE&amp;variation=10530138&amp;shoppingpid=spend_and_save_v2&amp;thg_ppc_campaign=71700000049055142&amp;product_id=10530138&amp;gclid=Cj0KCQjwoInnBRDDARIsANBVyATFdQgvDwKgmzH3et6S_OsQZx6S80-6-fJfNFjE04A-5STY1VPRb9YaAh3IEALw_wcB&amp;gclsrc=aw.ds 20.5 2019. 1 kg of pea protein contains 75% of protein. I kg of yellow peas contain 210 gram of protein.</t>
        </r>
      </text>
    </comment>
    <comment ref="C232" authorId="1">
      <text>
        <r>
          <rPr>
            <b/>
            <sz val="9"/>
            <rFont val="Tahoma"/>
            <family val="2"/>
          </rPr>
          <t>Annika Carlsson-Kanyama:</t>
        </r>
        <r>
          <rPr>
            <sz val="9"/>
            <rFont val="Tahoma"/>
            <family val="2"/>
          </rPr>
          <t xml:space="preserve">
https://www.foodbusinessnews.net/articles/11666-cocoa-butter-prices-bean-futures-soar 20.5 2019. Prices for 2016 (one example).</t>
        </r>
      </text>
    </comment>
    <comment ref="D232" authorId="1">
      <text>
        <r>
          <rPr>
            <b/>
            <sz val="9"/>
            <rFont val="Tahoma"/>
            <family val="2"/>
          </rPr>
          <t>Annika Carlsson-Kanyama:</t>
        </r>
        <r>
          <rPr>
            <sz val="9"/>
            <rFont val="Tahoma"/>
            <family val="2"/>
          </rPr>
          <t xml:space="preserve">
According to various decsription the whole cocoa bean is used for mking butter, cocoa powder etc, nothing is wasted.</t>
        </r>
      </text>
    </comment>
    <comment ref="B233" authorId="1">
      <text>
        <r>
          <rPr>
            <b/>
            <sz val="9"/>
            <rFont val="Tahoma"/>
            <family val="2"/>
          </rPr>
          <t>Annika Carlsson-Kanyama:</t>
        </r>
        <r>
          <rPr>
            <sz val="9"/>
            <rFont val="Tahoma"/>
            <family val="2"/>
          </rPr>
          <t xml:space="preserve">
Information from https://comtrade.un.org/data/ 17.6 2019.</t>
        </r>
      </text>
    </comment>
    <comment ref="D233" authorId="1">
      <text>
        <r>
          <rPr>
            <b/>
            <sz val="9"/>
            <rFont val="Tahoma"/>
            <family val="2"/>
          </rPr>
          <t>Annika Carlsson-Kanyama:</t>
        </r>
        <r>
          <rPr>
            <sz val="9"/>
            <rFont val="Tahoma"/>
            <family val="2"/>
          </rPr>
          <t xml:space="preserve">
Information from Life Cycle Carbon Footprint of Linear Alkylbenzenesulfonate from
Coconut Oil, Palm Kernel Oil, and Petroleum-Based Paraffins  by Daniel P. Fogliatti,† Scott A. Kemppainen,† Tom N. Kalnes,‡ Jiqing Fan,† and David R. Shonnard 2014.</t>
        </r>
      </text>
    </comment>
    <comment ref="B234" authorId="1">
      <text>
        <r>
          <rPr>
            <b/>
            <sz val="9"/>
            <rFont val="Tahoma"/>
            <family val="2"/>
          </rPr>
          <t>Annika Carlsson-Kanyama:</t>
        </r>
        <r>
          <rPr>
            <sz val="9"/>
            <rFont val="Tahoma"/>
            <family val="2"/>
          </rPr>
          <t xml:space="preserve">
https://www.mathem.se/varor/salladsmix/sallad-smabladsmix-65g-eko-klass1 17.6 2019.</t>
        </r>
      </text>
    </comment>
    <comment ref="A246" authorId="1">
      <text>
        <r>
          <rPr>
            <b/>
            <sz val="9"/>
            <rFont val="Tahoma"/>
            <family val="2"/>
          </rPr>
          <t>Annika Carlsson-Kanyama:</t>
        </r>
        <r>
          <rPr>
            <sz val="9"/>
            <rFont val="Tahoma"/>
            <family val="2"/>
          </rPr>
          <t xml:space="preserve">
https://ycharts.com/indicators/palm_oil_price. Prices obtained 22.4 2019.</t>
        </r>
      </text>
    </comment>
    <comment ref="C246" authorId="1">
      <text>
        <r>
          <rPr>
            <b/>
            <sz val="9"/>
            <rFont val="Tahoma"/>
            <family val="2"/>
          </rPr>
          <t>Annika Carlsson-Kanyama:</t>
        </r>
        <r>
          <rPr>
            <sz val="9"/>
            <rFont val="Tahoma"/>
            <family val="2"/>
          </rPr>
          <t xml:space="preserve">
Value of a dollar versus SEK from Riskbanken 22.4 2019, https://www.riksbank.se/sv/statistik/sok-rantor--valutakurser/manadsgenomsnitt-valutakurser/?y=2018&amp;m=7&amp;s=Comma&amp;f=m
</t>
        </r>
      </text>
    </comment>
    <comment ref="E247" authorId="1">
      <text>
        <r>
          <rPr>
            <b/>
            <sz val="9"/>
            <color indexed="8"/>
            <rFont val="Tahoma"/>
            <family val="2"/>
          </rPr>
          <t>Annika Carlsson-Kanyama:</t>
        </r>
        <r>
          <rPr>
            <sz val="9"/>
            <color indexed="8"/>
            <rFont val="Tahoma"/>
            <family val="2"/>
          </rPr>
          <t xml:space="preserve">
</t>
        </r>
        <r>
          <rPr>
            <sz val="9"/>
            <color indexed="8"/>
            <rFont val="Tahoma"/>
            <family val="2"/>
          </rPr>
          <t xml:space="preserve">Svensk handel. Finansiella nyckeltal för handeln 2014, p. 24. </t>
        </r>
      </text>
    </comment>
    <comment ref="A1" authorId="1">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5.xml><?xml version="1.0" encoding="utf-8"?>
<comments xmlns="http://schemas.openxmlformats.org/spreadsheetml/2006/main">
  <authors>
    <author>Microsoft Office User</author>
    <author>Annika Carlsson-Kanyama</author>
  </authors>
  <commentList>
    <comment ref="N1"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country/countries for the majority of imports in 2016 by tons of units, unless otherwise stated. Data collected from, and available at, SCB.se.
</t>
        </r>
      </text>
    </comment>
    <comment ref="N8" authorId="0">
      <text>
        <r>
          <rPr>
            <b/>
            <sz val="10"/>
            <color indexed="8"/>
            <rFont val="Tahoma"/>
            <family val="2"/>
          </rPr>
          <t>Microsoft Office User:</t>
        </r>
        <r>
          <rPr>
            <sz val="10"/>
            <color indexed="8"/>
            <rFont val="Tahoma"/>
            <family val="2"/>
          </rPr>
          <t xml:space="preserve">
</t>
        </r>
        <r>
          <rPr>
            <sz val="10"/>
            <color indexed="8"/>
            <rFont val="Tahoma"/>
            <family val="2"/>
          </rPr>
          <t>Information from Stalands customer service, april 2019.</t>
        </r>
      </text>
    </comment>
    <comment ref="K8" authorId="0">
      <text>
        <r>
          <rPr>
            <b/>
            <sz val="10"/>
            <color indexed="8"/>
            <rFont val="Tahoma"/>
            <family val="2"/>
          </rPr>
          <t>Microsoft Office User:</t>
        </r>
        <r>
          <rPr>
            <sz val="10"/>
            <color indexed="8"/>
            <rFont val="Tahoma"/>
            <family val="2"/>
          </rPr>
          <t xml:space="preserve">
</t>
        </r>
        <r>
          <rPr>
            <sz val="10"/>
            <color indexed="8"/>
            <rFont val="Tahoma"/>
            <family val="2"/>
          </rPr>
          <t>Information from Stalands customer service, april 2019.</t>
        </r>
      </text>
    </comment>
    <comment ref="K14" authorId="0">
      <text>
        <r>
          <rPr>
            <b/>
            <sz val="10"/>
            <color indexed="8"/>
            <rFont val="Tahoma"/>
            <family val="2"/>
          </rPr>
          <t>Microsoft Office User:</t>
        </r>
        <r>
          <rPr>
            <sz val="10"/>
            <color indexed="8"/>
            <rFont val="Tahoma"/>
            <family val="2"/>
          </rPr>
          <t xml:space="preserve">
</t>
        </r>
        <r>
          <rPr>
            <sz val="10"/>
            <color indexed="8"/>
            <rFont val="Tahoma"/>
            <family val="2"/>
          </rPr>
          <t>Information from Bauhaus customer service, april 2019.</t>
        </r>
      </text>
    </comment>
    <comment ref="L14"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Bauhaus customer service, april 2019.
</t>
        </r>
      </text>
    </comment>
    <comment ref="L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Stalands customer service, april 2019.
</t>
        </r>
      </text>
    </comment>
    <comment ref="N14"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Bauhaus customer service, april 2019.
</t>
        </r>
      </text>
    </comment>
    <comment ref="K18" authorId="0">
      <text>
        <r>
          <rPr>
            <b/>
            <sz val="10"/>
            <color indexed="8"/>
            <rFont val="Tahoma"/>
            <family val="2"/>
          </rPr>
          <t>Microsoft Office User:</t>
        </r>
        <r>
          <rPr>
            <sz val="10"/>
            <color indexed="8"/>
            <rFont val="Tahoma"/>
            <family val="2"/>
          </rPr>
          <t xml:space="preserve">
</t>
        </r>
        <r>
          <rPr>
            <sz val="10"/>
            <color indexed="8"/>
            <rFont val="Tahoma"/>
            <family val="2"/>
          </rPr>
          <t>Information from Cervera customer service, april 2019.</t>
        </r>
      </text>
    </comment>
    <comment ref="L18" authorId="0">
      <text>
        <r>
          <rPr>
            <b/>
            <sz val="10"/>
            <color indexed="8"/>
            <rFont val="Tahoma"/>
            <family val="2"/>
          </rPr>
          <t>Microsoft Office User:</t>
        </r>
        <r>
          <rPr>
            <sz val="10"/>
            <color indexed="8"/>
            <rFont val="Tahoma"/>
            <family val="2"/>
          </rPr>
          <t xml:space="preserve">
Information from Cervera customer service, april 2019. We used porcelain in the anaysis instead.</t>
        </r>
      </text>
    </comment>
    <comment ref="N18" authorId="0">
      <text>
        <r>
          <rPr>
            <b/>
            <sz val="10"/>
            <color indexed="8"/>
            <rFont val="Tahoma"/>
            <family val="2"/>
          </rPr>
          <t>Microsoft Office User:</t>
        </r>
        <r>
          <rPr>
            <sz val="10"/>
            <color indexed="8"/>
            <rFont val="Tahoma"/>
            <family val="2"/>
          </rPr>
          <t xml:space="preserve">
</t>
        </r>
        <r>
          <rPr>
            <sz val="10"/>
            <color indexed="8"/>
            <rFont val="Tahoma"/>
            <family val="2"/>
          </rPr>
          <t>Information from Cervera customer service, april 2019.</t>
        </r>
      </text>
    </comment>
    <comment ref="K22" authorId="0">
      <text>
        <r>
          <rPr>
            <b/>
            <sz val="10"/>
            <color indexed="8"/>
            <rFont val="Tahoma"/>
            <family val="2"/>
          </rPr>
          <t>Microsoft Office User:</t>
        </r>
        <r>
          <rPr>
            <sz val="10"/>
            <color indexed="8"/>
            <rFont val="Tahoma"/>
            <family val="2"/>
          </rPr>
          <t xml:space="preserve">
</t>
        </r>
        <r>
          <rPr>
            <sz val="10"/>
            <color indexed="8"/>
            <rFont val="Tahoma"/>
            <family val="2"/>
          </rPr>
          <t>Information from MIO customer service, april 2019.</t>
        </r>
      </text>
    </comment>
    <comment ref="L2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M2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N22" authorId="0">
      <text>
        <r>
          <rPr>
            <b/>
            <sz val="10"/>
            <color indexed="8"/>
            <rFont val="Tahoma"/>
            <family val="2"/>
          </rPr>
          <t>Microsoft Office User:</t>
        </r>
        <r>
          <rPr>
            <sz val="10"/>
            <color indexed="8"/>
            <rFont val="Tahoma"/>
            <family val="2"/>
          </rPr>
          <t xml:space="preserve">
</t>
        </r>
        <r>
          <rPr>
            <sz val="10"/>
            <color indexed="8"/>
            <rFont val="Arial"/>
            <family val="2"/>
          </rPr>
          <t>Information from MIO customer service, april 2019.</t>
        </r>
        <r>
          <rPr>
            <sz val="10"/>
            <color indexed="8"/>
            <rFont val="Arial"/>
            <family val="2"/>
          </rPr>
          <t xml:space="preserve">
</t>
        </r>
      </text>
    </comment>
    <comment ref="O2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P22" authorId="0">
      <text>
        <r>
          <rPr>
            <b/>
            <sz val="10"/>
            <color indexed="8"/>
            <rFont val="Tahoma"/>
            <family val="2"/>
          </rPr>
          <t>Microsoft Office User:</t>
        </r>
        <r>
          <rPr>
            <sz val="10"/>
            <color indexed="8"/>
            <rFont val="Tahoma"/>
            <family val="2"/>
          </rPr>
          <t xml:space="preserve">
</t>
        </r>
        <r>
          <rPr>
            <sz val="10"/>
            <color indexed="8"/>
            <rFont val="Arial"/>
            <family val="2"/>
          </rPr>
          <t>Information from MIO customer service, april 2019.</t>
        </r>
        <r>
          <rPr>
            <sz val="10"/>
            <color indexed="8"/>
            <rFont val="Arial"/>
            <family val="2"/>
          </rPr>
          <t xml:space="preserve">
</t>
        </r>
      </text>
    </comment>
    <comment ref="K28" authorId="0">
      <text>
        <r>
          <rPr>
            <b/>
            <sz val="10"/>
            <color indexed="8"/>
            <rFont val="Tahoma"/>
            <family val="2"/>
          </rPr>
          <t>Microsoft Office User:</t>
        </r>
        <r>
          <rPr>
            <sz val="10"/>
            <color indexed="8"/>
            <rFont val="Tahoma"/>
            <family val="2"/>
          </rPr>
          <t xml:space="preserve">
</t>
        </r>
        <r>
          <rPr>
            <sz val="10"/>
            <color indexed="8"/>
            <rFont val="Arial"/>
            <family val="2"/>
          </rPr>
          <t>Information from MIO customer service, april 2019.</t>
        </r>
        <r>
          <rPr>
            <sz val="10"/>
            <color indexed="8"/>
            <rFont val="Arial"/>
            <family val="2"/>
          </rPr>
          <t xml:space="preserve">
</t>
        </r>
      </text>
    </comment>
    <comment ref="L2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M2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N28" authorId="0">
      <text>
        <r>
          <rPr>
            <b/>
            <sz val="10"/>
            <color indexed="8"/>
            <rFont val="Tahoma"/>
            <family val="2"/>
          </rPr>
          <t>Microsoft Office User:</t>
        </r>
        <r>
          <rPr>
            <sz val="10"/>
            <color indexed="8"/>
            <rFont val="Tahoma"/>
            <family val="2"/>
          </rPr>
          <t xml:space="preserve">
</t>
        </r>
        <r>
          <rPr>
            <sz val="10"/>
            <color indexed="8"/>
            <rFont val="Arial"/>
            <family val="2"/>
          </rPr>
          <t>Information from MIO customer service, april 2019.</t>
        </r>
        <r>
          <rPr>
            <sz val="10"/>
            <color indexed="8"/>
            <rFont val="Arial"/>
            <family val="2"/>
          </rPr>
          <t xml:space="preserve">
</t>
        </r>
      </text>
    </comment>
    <comment ref="L2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K2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M2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N2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MIO customer service, april 2019.
</t>
        </r>
      </text>
    </comment>
    <comment ref="M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Stalands customer service, april 2019.
</t>
        </r>
      </text>
    </comment>
    <comment ref="M14"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Bauhaus customer service, april 2019.
</t>
        </r>
      </text>
    </comment>
    <comment ref="M18" authorId="0">
      <text>
        <r>
          <rPr>
            <b/>
            <sz val="10"/>
            <color indexed="8"/>
            <rFont val="Tahoma"/>
            <family val="2"/>
          </rPr>
          <t>Microsoft Office User:</t>
        </r>
        <r>
          <rPr>
            <sz val="10"/>
            <color indexed="8"/>
            <rFont val="Tahoma"/>
            <family val="2"/>
          </rPr>
          <t xml:space="preserve">
</t>
        </r>
        <r>
          <rPr>
            <sz val="10"/>
            <color indexed="8"/>
            <rFont val="Arial"/>
            <family val="2"/>
          </rPr>
          <t>Information from Cervera customer service, april 2019.</t>
        </r>
      </text>
    </comment>
    <comment ref="K70" authorId="0">
      <text>
        <r>
          <rPr>
            <b/>
            <sz val="10"/>
            <color indexed="8"/>
            <rFont val="Tahoma"/>
            <family val="2"/>
          </rPr>
          <t>Microsoft Office User:</t>
        </r>
        <r>
          <rPr>
            <sz val="10"/>
            <color indexed="8"/>
            <rFont val="Tahoma"/>
            <family val="2"/>
          </rPr>
          <t xml:space="preserve">
</t>
        </r>
        <r>
          <rPr>
            <sz val="10"/>
            <color indexed="8"/>
            <rFont val="Arial"/>
            <family val="2"/>
          </rPr>
          <t>Information from HM customer service, april 2019.</t>
        </r>
        <r>
          <rPr>
            <sz val="10"/>
            <color indexed="8"/>
            <rFont val="Arial"/>
            <family val="2"/>
          </rPr>
          <t xml:space="preserve">
</t>
        </r>
      </text>
    </comment>
    <comment ref="L70"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HM customer service, april 2019.
</t>
        </r>
      </text>
    </comment>
    <comment ref="N70" authorId="0">
      <text>
        <r>
          <rPr>
            <b/>
            <sz val="10"/>
            <color indexed="8"/>
            <rFont val="Tahoma"/>
            <family val="2"/>
          </rPr>
          <t>Microsoft Office User:</t>
        </r>
        <r>
          <rPr>
            <sz val="10"/>
            <color indexed="8"/>
            <rFont val="Tahoma"/>
            <family val="2"/>
          </rPr>
          <t xml:space="preserve">
</t>
        </r>
        <r>
          <rPr>
            <sz val="10"/>
            <color indexed="8"/>
            <rFont val="Arial"/>
            <family val="2"/>
          </rPr>
          <t>Information from HM customer service, april 2019.</t>
        </r>
        <r>
          <rPr>
            <sz val="10"/>
            <color indexed="8"/>
            <rFont val="Arial"/>
            <family val="2"/>
          </rPr>
          <t xml:space="preserve">
</t>
        </r>
      </text>
    </comment>
    <comment ref="M70"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HM customer service, april 2019.
</t>
        </r>
      </text>
    </comment>
    <comment ref="K77"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HM customer service, april 2019.
</t>
        </r>
      </text>
    </comment>
    <comment ref="L77"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HM customer service, april 2019.
</t>
        </r>
      </text>
    </comment>
    <comment ref="M77" authorId="0">
      <text>
        <r>
          <rPr>
            <b/>
            <sz val="10"/>
            <color indexed="8"/>
            <rFont val="Tahoma"/>
            <family val="2"/>
          </rPr>
          <t>Microsoft Office User:</t>
        </r>
        <r>
          <rPr>
            <sz val="10"/>
            <color indexed="8"/>
            <rFont val="Tahoma"/>
            <family val="2"/>
          </rPr>
          <t xml:space="preserve">
</t>
        </r>
        <r>
          <rPr>
            <sz val="10"/>
            <color indexed="8"/>
            <rFont val="Arial"/>
            <family val="2"/>
          </rPr>
          <t xml:space="preserve">Weighed at home, april 2019.
</t>
        </r>
      </text>
    </comment>
    <comment ref="N77" authorId="0">
      <text>
        <r>
          <rPr>
            <b/>
            <sz val="10"/>
            <color indexed="8"/>
            <rFont val="Tahoma"/>
            <family val="2"/>
          </rPr>
          <t>Microsoft Office User:</t>
        </r>
        <r>
          <rPr>
            <sz val="10"/>
            <color indexed="8"/>
            <rFont val="Tahoma"/>
            <family val="2"/>
          </rPr>
          <t xml:space="preserve">
</t>
        </r>
        <r>
          <rPr>
            <sz val="10"/>
            <color indexed="8"/>
            <rFont val="Arial"/>
            <family val="2"/>
          </rPr>
          <t>Information from HM customer service, april 2019.</t>
        </r>
        <r>
          <rPr>
            <sz val="10"/>
            <color indexed="8"/>
            <rFont val="Arial"/>
            <family val="2"/>
          </rPr>
          <t xml:space="preserve">
</t>
        </r>
      </text>
    </comment>
    <comment ref="P77" authorId="0">
      <text>
        <r>
          <rPr>
            <b/>
            <sz val="10"/>
            <color indexed="8"/>
            <rFont val="Tahoma"/>
            <family val="2"/>
          </rPr>
          <t>Microsoft Office User:</t>
        </r>
        <r>
          <rPr>
            <sz val="10"/>
            <color indexed="8"/>
            <rFont val="Tahoma"/>
            <family val="2"/>
          </rPr>
          <t xml:space="preserve">
</t>
        </r>
        <r>
          <rPr>
            <sz val="10"/>
            <color indexed="8"/>
            <rFont val="Tahoma"/>
            <family val="2"/>
          </rPr>
          <t>Weighed at home, april 2019.</t>
        </r>
      </text>
    </comment>
    <comment ref="L87"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COOP customer service, april 2019.
</t>
        </r>
      </text>
    </comment>
    <comment ref="K87" authorId="0">
      <text>
        <r>
          <rPr>
            <b/>
            <sz val="10"/>
            <color indexed="8"/>
            <rFont val="Tahoma"/>
            <family val="2"/>
          </rPr>
          <t>Microsoft Office User:</t>
        </r>
        <r>
          <rPr>
            <sz val="10"/>
            <color indexed="8"/>
            <rFont val="Tahoma"/>
            <family val="2"/>
          </rPr>
          <t xml:space="preserve">
</t>
        </r>
        <r>
          <rPr>
            <sz val="10"/>
            <color indexed="8"/>
            <rFont val="Tahoma"/>
            <family val="2"/>
          </rPr>
          <t>Weighed at home, april 2019.</t>
        </r>
      </text>
    </comment>
    <comment ref="M87" authorId="0">
      <text>
        <r>
          <rPr>
            <b/>
            <sz val="10"/>
            <color indexed="8"/>
            <rFont val="Tahoma"/>
            <family val="2"/>
          </rPr>
          <t>Microsoft Office User:</t>
        </r>
        <r>
          <rPr>
            <sz val="10"/>
            <color indexed="8"/>
            <rFont val="Tahoma"/>
            <family val="2"/>
          </rPr>
          <t xml:space="preserve">
</t>
        </r>
        <r>
          <rPr>
            <sz val="10"/>
            <color indexed="8"/>
            <rFont val="Tahoma"/>
            <family val="2"/>
          </rPr>
          <t>Weighed at home, april 2019.</t>
        </r>
      </text>
    </comment>
    <comment ref="N87"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COOP customer service, april 2019.
</t>
        </r>
      </text>
    </comment>
    <comment ref="P87" authorId="0">
      <text>
        <r>
          <rPr>
            <b/>
            <sz val="10"/>
            <color indexed="8"/>
            <rFont val="Tahoma"/>
            <family val="2"/>
          </rPr>
          <t>Microsoft Office User:</t>
        </r>
        <r>
          <rPr>
            <sz val="10"/>
            <color indexed="8"/>
            <rFont val="Tahoma"/>
            <family val="2"/>
          </rPr>
          <t xml:space="preserve">
</t>
        </r>
        <r>
          <rPr>
            <sz val="10"/>
            <color indexed="8"/>
            <rFont val="Tahoma"/>
            <family val="2"/>
          </rPr>
          <t>Weighed at home, april 2019.</t>
        </r>
      </text>
    </comment>
    <comment ref="K71" authorId="0">
      <text>
        <r>
          <rPr>
            <b/>
            <sz val="10"/>
            <color indexed="8"/>
            <rFont val="Tahoma"/>
            <family val="2"/>
          </rPr>
          <t>Microsoft Office User:</t>
        </r>
        <r>
          <rPr>
            <sz val="10"/>
            <color indexed="8"/>
            <rFont val="Tahoma"/>
            <family val="2"/>
          </rPr>
          <t xml:space="preserve">
</t>
        </r>
        <r>
          <rPr>
            <sz val="10"/>
            <color indexed="8"/>
            <rFont val="Arial"/>
            <family val="2"/>
          </rPr>
          <t>Information from Cervera customer service, april 2019.</t>
        </r>
        <r>
          <rPr>
            <sz val="10"/>
            <color indexed="8"/>
            <rFont val="Arial"/>
            <family val="2"/>
          </rPr>
          <t xml:space="preserve">
</t>
        </r>
      </text>
    </comment>
    <comment ref="L7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Cervera customer service, april 2019.
</t>
        </r>
      </text>
    </comment>
    <comment ref="M7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Cervera customer service, april 2019.
</t>
        </r>
      </text>
    </comment>
    <comment ref="N71" authorId="0">
      <text>
        <r>
          <rPr>
            <b/>
            <sz val="10"/>
            <color indexed="8"/>
            <rFont val="Tahoma"/>
            <family val="2"/>
          </rPr>
          <t>Microsoft Office User:</t>
        </r>
        <r>
          <rPr>
            <sz val="10"/>
            <color indexed="8"/>
            <rFont val="Tahoma"/>
            <family val="2"/>
          </rPr>
          <t xml:space="preserve">
</t>
        </r>
        <r>
          <rPr>
            <sz val="10"/>
            <color indexed="8"/>
            <rFont val="Arial"/>
            <family val="2"/>
          </rPr>
          <t>Information from Cervera customer service, april 2019.</t>
        </r>
        <r>
          <rPr>
            <sz val="10"/>
            <color indexed="8"/>
            <rFont val="Arial"/>
            <family val="2"/>
          </rPr>
          <t xml:space="preserve">
</t>
        </r>
      </text>
    </comment>
    <comment ref="K75" authorId="0">
      <text>
        <r>
          <rPr>
            <b/>
            <sz val="10"/>
            <color indexed="8"/>
            <rFont val="Tahoma"/>
            <family val="2"/>
          </rPr>
          <t>Microsoft Office User:</t>
        </r>
        <r>
          <rPr>
            <sz val="10"/>
            <color indexed="8"/>
            <rFont val="Tahoma"/>
            <family val="2"/>
          </rPr>
          <t xml:space="preserve">
</t>
        </r>
        <r>
          <rPr>
            <sz val="10"/>
            <color indexed="8"/>
            <rFont val="Tahoma"/>
            <family val="2"/>
          </rPr>
          <t>Weighed at home, april 2019.</t>
        </r>
      </text>
    </comment>
    <comment ref="L75" authorId="0">
      <text>
        <r>
          <rPr>
            <b/>
            <sz val="10"/>
            <color indexed="8"/>
            <rFont val="Tahoma"/>
            <family val="2"/>
          </rPr>
          <t>Microsoft Office User:</t>
        </r>
        <r>
          <rPr>
            <sz val="10"/>
            <color indexed="8"/>
            <rFont val="Tahoma"/>
            <family val="2"/>
          </rPr>
          <t xml:space="preserve">
</t>
        </r>
        <r>
          <rPr>
            <sz val="10"/>
            <color indexed="8"/>
            <rFont val="Tahoma"/>
            <family val="2"/>
          </rPr>
          <t>Information from Lodge cast iron, april 2019.</t>
        </r>
      </text>
    </comment>
    <comment ref="M75"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Lodge cast iron, april 2019.
</t>
        </r>
      </text>
    </comment>
    <comment ref="N75" authorId="0">
      <text>
        <r>
          <rPr>
            <b/>
            <sz val="10"/>
            <color indexed="8"/>
            <rFont val="Tahoma"/>
            <family val="2"/>
          </rPr>
          <t>Microsoft Office User:</t>
        </r>
        <r>
          <rPr>
            <sz val="10"/>
            <color indexed="8"/>
            <rFont val="Tahoma"/>
            <family val="2"/>
          </rPr>
          <t xml:space="preserve">
</t>
        </r>
        <r>
          <rPr>
            <sz val="10"/>
            <color indexed="8"/>
            <rFont val="Arial"/>
            <family val="2"/>
          </rPr>
          <t>Information from Lodge cast iron, april 2019.</t>
        </r>
        <r>
          <rPr>
            <sz val="10"/>
            <color indexed="8"/>
            <rFont val="Arial"/>
            <family val="2"/>
          </rPr>
          <t xml:space="preserve">
</t>
        </r>
      </text>
    </comment>
    <comment ref="K79" authorId="0">
      <text>
        <r>
          <rPr>
            <b/>
            <sz val="10"/>
            <color indexed="8"/>
            <rFont val="Tahoma"/>
            <family val="2"/>
          </rPr>
          <t>Microsoft Office User:</t>
        </r>
        <r>
          <rPr>
            <sz val="10"/>
            <color indexed="8"/>
            <rFont val="Tahoma"/>
            <family val="2"/>
          </rPr>
          <t xml:space="preserve">
</t>
        </r>
        <r>
          <rPr>
            <sz val="10"/>
            <color indexed="8"/>
            <rFont val="Tahoma"/>
            <family val="2"/>
          </rPr>
          <t>Infromation from ClasOhlson customer service, april 2019.</t>
        </r>
      </text>
    </comment>
    <comment ref="L79" authorId="0">
      <text>
        <r>
          <rPr>
            <b/>
            <sz val="10"/>
            <color indexed="8"/>
            <rFont val="Tahoma"/>
            <family val="2"/>
          </rPr>
          <t>Microsoft Office User:</t>
        </r>
        <r>
          <rPr>
            <sz val="10"/>
            <color indexed="8"/>
            <rFont val="Tahoma"/>
            <family val="2"/>
          </rPr>
          <t xml:space="preserve">
</t>
        </r>
        <r>
          <rPr>
            <sz val="10"/>
            <color indexed="8"/>
            <rFont val="Arial"/>
            <family val="2"/>
          </rPr>
          <t xml:space="preserve">Infromation from ClasOhlson customer service, april 2019.
</t>
        </r>
      </text>
    </comment>
    <comment ref="M79" authorId="0">
      <text>
        <r>
          <rPr>
            <b/>
            <sz val="10"/>
            <color indexed="8"/>
            <rFont val="Tahoma"/>
            <family val="2"/>
          </rPr>
          <t>Microsoft Office User:</t>
        </r>
        <r>
          <rPr>
            <sz val="10"/>
            <color indexed="8"/>
            <rFont val="Tahoma"/>
            <family val="2"/>
          </rPr>
          <t xml:space="preserve">
</t>
        </r>
        <r>
          <rPr>
            <sz val="10"/>
            <color indexed="8"/>
            <rFont val="Arial"/>
            <family val="2"/>
          </rPr>
          <t xml:space="preserve">Infromation from ClasOhlson customer service, april 2019.
</t>
        </r>
      </text>
    </comment>
    <comment ref="N79" authorId="0">
      <text>
        <r>
          <rPr>
            <b/>
            <sz val="10"/>
            <color indexed="8"/>
            <rFont val="Tahoma"/>
            <family val="2"/>
          </rPr>
          <t>Microsoft Office User:</t>
        </r>
        <r>
          <rPr>
            <sz val="10"/>
            <color indexed="8"/>
            <rFont val="Tahoma"/>
            <family val="2"/>
          </rPr>
          <t xml:space="preserve">
</t>
        </r>
        <r>
          <rPr>
            <sz val="10"/>
            <color indexed="8"/>
            <rFont val="Arial"/>
            <family val="2"/>
          </rPr>
          <t xml:space="preserve">Infromation from ClasOhlson customer service, april 2019.
</t>
        </r>
      </text>
    </comment>
    <comment ref="K38" authorId="0">
      <text>
        <r>
          <rPr>
            <b/>
            <sz val="10"/>
            <color indexed="8"/>
            <rFont val="Tahoma"/>
            <family val="2"/>
          </rPr>
          <t>Microsoft Office User:</t>
        </r>
        <r>
          <rPr>
            <sz val="10"/>
            <color indexed="8"/>
            <rFont val="Tahoma"/>
            <family val="2"/>
          </rPr>
          <t xml:space="preserve">
</t>
        </r>
        <r>
          <rPr>
            <sz val="10"/>
            <color indexed="8"/>
            <rFont val="Tahoma"/>
            <family val="2"/>
          </rPr>
          <t>Information from LCA of dishwashers "</t>
        </r>
        <r>
          <rPr>
            <sz val="10"/>
            <color indexed="8"/>
            <rFont val="Arial"/>
            <family val="2"/>
          </rPr>
          <t xml:space="preserve">Report on benefits and impacts/costs of options for different potential material efficiency requirements for Dishwashers" by Ardente Fulvio and Laura Talens Peiró in 2015.
</t>
        </r>
        <r>
          <rPr>
            <sz val="10"/>
            <color indexed="8"/>
            <rFont val="Arial"/>
            <family val="2"/>
          </rPr>
          <t xml:space="preserve">
</t>
        </r>
      </text>
    </comment>
    <comment ref="L3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dishwashers "Report on benefits and impacts/costs of options for different potential material efficiency requirements for Dishwashers" by Ardente Fulvio and Laura Talens Peiró in 2015.
</t>
        </r>
      </text>
    </comment>
    <comment ref="M3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dishwashers "Report on benefits and impacts/costs of options for different potential material efficiency requirements for Dishwashers" by Ardente Fulvio and Laura Talens Peiró in 2015.
</t>
        </r>
      </text>
    </comment>
    <comment ref="K3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washing machines "WASHING MACHINE" by Charles Bourries et al. in 2011
</t>
        </r>
      </text>
    </comment>
    <comment ref="L3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washing machines "WASHING MACHINE" by Charles Bourries et al. in 2011
</t>
        </r>
      </text>
    </comment>
    <comment ref="K42" authorId="0">
      <text>
        <r>
          <rPr>
            <b/>
            <sz val="10"/>
            <color indexed="8"/>
            <rFont val="Tahoma"/>
            <family val="2"/>
          </rPr>
          <t>Microsoft Office User:</t>
        </r>
        <r>
          <rPr>
            <sz val="10"/>
            <color indexed="8"/>
            <rFont val="Tahoma"/>
            <family val="2"/>
          </rPr>
          <t xml:space="preserve">
</t>
        </r>
        <r>
          <rPr>
            <sz val="10"/>
            <color indexed="8"/>
            <rFont val="Tahoma"/>
            <family val="2"/>
          </rPr>
          <t>Information from LCA of microwaves "</t>
        </r>
        <r>
          <rPr>
            <sz val="10"/>
            <color indexed="8"/>
            <rFont val="Arial"/>
            <family val="2"/>
          </rPr>
          <t xml:space="preserve">Environmental assessment of microwaves and the effect of European energy efficiency and waste management legislation" by Alejandro Gallego-Schmid et al. in 2018
</t>
        </r>
      </text>
    </comment>
    <comment ref="L4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microwaves "Environmental assessment of microwaves and the effect of European energy efficiency and waste management legislation" by Alejandro Gallego-Schmid et al. in 2018
</t>
        </r>
      </text>
    </comment>
    <comment ref="M4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microwaves "Environmental assessment of microwaves and the effect of European energy efficiency and waste management legislation" by Alejandro Gallego-Schmid et al. in 2018
</t>
        </r>
      </text>
    </comment>
    <comment ref="K52" authorId="0">
      <text>
        <r>
          <rPr>
            <b/>
            <sz val="10"/>
            <color indexed="8"/>
            <rFont val="Tahoma"/>
            <family val="2"/>
          </rPr>
          <t>Microsoft Office User:</t>
        </r>
        <r>
          <rPr>
            <sz val="10"/>
            <color indexed="8"/>
            <rFont val="Tahoma"/>
            <family val="2"/>
          </rPr>
          <t xml:space="preserve">
</t>
        </r>
        <r>
          <rPr>
            <sz val="10"/>
            <color indexed="8"/>
            <rFont val="Tahoma"/>
            <family val="2"/>
          </rPr>
          <t>Information from LCA of vacuum cleaners "Life cycle enviromental impacts of vacuum cleaners and the effects of European regulation" by Alejandro Gallego Schmid and Joan Manuel F. Mendoza in 2016</t>
        </r>
      </text>
    </comment>
    <comment ref="L5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vacuum cleaners "Life cycle enviromental impacts of vacuum cleaners and the effects of European regulation" by Alejandro Gallego Schmid and Joan Manuel F. Mendoza in 2016
</t>
        </r>
      </text>
    </comment>
    <comment ref="M5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vacuum cleaners "Life cycle enviromental impacts of vacuum cleaners and the effects of European regulation" by Alejandro Gallego Schmid and Joan Manuel F. Mendoza in 2016
</t>
        </r>
      </text>
    </comment>
    <comment ref="M39"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washing machines "WASHING MACHINE" by Charles Bourries et al. in 2011
</t>
        </r>
      </text>
    </comment>
    <comment ref="P5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vacuum cleaners "Life cycle enviromental impacts of vacuum cleaners and the effects of European regulation" by Alejandro Gallego Schmid and Joan Manuel F. Mendoza in 2016
</t>
        </r>
      </text>
    </comment>
    <comment ref="P42" authorId="0">
      <text>
        <r>
          <rPr>
            <b/>
            <sz val="10"/>
            <color indexed="8"/>
            <rFont val="Tahoma"/>
            <family val="2"/>
          </rPr>
          <t>Microsoft Office User:</t>
        </r>
        <r>
          <rPr>
            <sz val="10"/>
            <color indexed="8"/>
            <rFont val="Tahoma"/>
            <family val="2"/>
          </rPr>
          <t xml:space="preserve">
</t>
        </r>
        <r>
          <rPr>
            <sz val="10"/>
            <color indexed="8"/>
            <rFont val="Arial"/>
            <family val="2"/>
          </rPr>
          <t>Information from LCA of microwaves "Environmental assessment of microwaves and the effect of European energy efficiency and waste management legislation" by Alejandro Gallego-Schmid et al. in 2018</t>
        </r>
      </text>
    </comment>
    <comment ref="P39"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the amount of packaging used in subgroup (0531501) and information from LCA of washing machines "WASHING MACHINE" by Charles Bourries et al. in 2011
</t>
        </r>
        <r>
          <rPr>
            <sz val="10"/>
            <color indexed="8"/>
            <rFont val="Arial"/>
            <family val="2"/>
          </rPr>
          <t xml:space="preserve">
</t>
        </r>
      </text>
    </comment>
    <comment ref="P38"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the amount of packaging used in subgroup (0531202) and (0531501).
</t>
        </r>
      </text>
    </comment>
    <comment ref="O4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microwaves "Environmental assessment of microwaves and the effect of European energy efficiency and waste management legislation" by Alejandro Gallego-Schmid et al. in 2018
</t>
        </r>
      </text>
    </comment>
    <comment ref="O39"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materials used for packaging in subgroup (0531501).
</t>
        </r>
      </text>
    </comment>
    <comment ref="O38"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materials used for packaging in subgroup (0531501).
</t>
        </r>
      </text>
    </comment>
    <comment ref="O52"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vacuum cleaners "Life cycle enviromental impacts of vacuum cleaners and the effects of European regulation" by Alejandro Gallego Schmid and Joan Manuel F. Mendoza in 2016
</t>
        </r>
      </text>
    </comment>
    <comment ref="K85"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L85"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laundry detergents "LCA Case Studies Laundry Detergents LCA Case Studies A Database for the Life-Cycle Assessment of Procter &amp; Gamble" by Erwan Saouter and Gert Van Hoof in 2002.
</t>
        </r>
      </text>
    </comment>
    <comment ref="M85"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laundry detergents "LCA Case Studies Laundry Detergents LCA Case Studies A Database for the Life-Cycle Assessment of Procter &amp; Gamble" by Erwan Saouter and Gert Van Hoof in 2002.
</t>
        </r>
      </text>
    </comment>
    <comment ref="N85" authorId="0">
      <text>
        <r>
          <rPr>
            <b/>
            <sz val="10"/>
            <color indexed="8"/>
            <rFont val="Tahoma"/>
            <family val="2"/>
          </rPr>
          <t>Microsoft Office User:</t>
        </r>
        <r>
          <rPr>
            <sz val="10"/>
            <color indexed="8"/>
            <rFont val="Tahoma"/>
            <family val="2"/>
          </rPr>
          <t xml:space="preserve">
</t>
        </r>
        <r>
          <rPr>
            <sz val="10"/>
            <color indexed="8"/>
            <rFont val="Tahoma"/>
            <family val="2"/>
          </rPr>
          <t>Information from ICA customer service, may 2019.</t>
        </r>
      </text>
    </comment>
    <comment ref="P85"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L11" authorId="0">
      <text>
        <r>
          <rPr>
            <b/>
            <sz val="10"/>
            <color indexed="8"/>
            <rFont val="Tahoma"/>
            <family val="2"/>
          </rPr>
          <t>Microsoft Office User:</t>
        </r>
        <r>
          <rPr>
            <sz val="10"/>
            <color indexed="8"/>
            <rFont val="Tahoma"/>
            <family val="2"/>
          </rPr>
          <t xml:space="preserve">
</t>
        </r>
        <r>
          <rPr>
            <sz val="10"/>
            <color indexed="8"/>
            <rFont val="Tahoma"/>
            <family val="2"/>
          </rPr>
          <t>Information from LCA of beds and mattresses "Bed mattresses - LCA and criteria proposals final report for the EC" by E.J.M. Deliege and D.S.C. Nijdam in 1998.</t>
        </r>
      </text>
    </comment>
    <comment ref="M1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beds and mattresses "Bed mattresses - LCA and criteria proposals final report for the EC" by E.J.M. Deliege and D.S.C. Nijdam in 1998.
</t>
        </r>
      </text>
    </comment>
    <comment ref="O11" authorId="0">
      <text>
        <r>
          <rPr>
            <b/>
            <sz val="10"/>
            <color indexed="8"/>
            <rFont val="Tahoma"/>
            <family val="2"/>
          </rPr>
          <t>Microsoft Office User:</t>
        </r>
        <r>
          <rPr>
            <sz val="10"/>
            <color indexed="8"/>
            <rFont val="Tahoma"/>
            <family val="2"/>
          </rPr>
          <t xml:space="preserve">
</t>
        </r>
        <r>
          <rPr>
            <sz val="10"/>
            <color indexed="8"/>
            <rFont val="Arial"/>
            <family val="2"/>
          </rPr>
          <t>Information from LCA of beds and mattresses "Bed mattresses - LCA and criteria proposals final report for the EC" by E.J.M. Deliege and D.S.C. Nijdam in 1998.</t>
        </r>
        <r>
          <rPr>
            <sz val="10"/>
            <color indexed="8"/>
            <rFont val="Arial"/>
            <family val="2"/>
          </rPr>
          <t xml:space="preserve">
</t>
        </r>
      </text>
    </comment>
    <comment ref="P11" authorId="0">
      <text>
        <r>
          <rPr>
            <b/>
            <sz val="10"/>
            <color indexed="8"/>
            <rFont val="Tahoma"/>
            <family val="2"/>
          </rPr>
          <t>Microsoft Office User:</t>
        </r>
        <r>
          <rPr>
            <sz val="10"/>
            <color indexed="8"/>
            <rFont val="Tahoma"/>
            <family val="2"/>
          </rPr>
          <t xml:space="preserve">
</t>
        </r>
        <r>
          <rPr>
            <sz val="10"/>
            <color indexed="8"/>
            <rFont val="Arial"/>
            <family val="2"/>
          </rPr>
          <t>Information from LCA of beds and mattresses "Bed mattresses - LCA and criteria proposals final report for the EC" by E.J.M. Deliege and D.S.C. Nijdam in 1998.</t>
        </r>
        <r>
          <rPr>
            <sz val="10"/>
            <color indexed="8"/>
            <rFont val="Arial"/>
            <family val="2"/>
          </rPr>
          <t xml:space="preserve">
</t>
        </r>
      </text>
    </comment>
    <comment ref="K11" authorId="0">
      <text>
        <r>
          <rPr>
            <b/>
            <sz val="10"/>
            <color indexed="8"/>
            <rFont val="Tahoma"/>
            <family val="2"/>
          </rPr>
          <t>Microsoft Office User:</t>
        </r>
        <r>
          <rPr>
            <sz val="10"/>
            <color indexed="8"/>
            <rFont val="Tahoma"/>
            <family val="2"/>
          </rPr>
          <t xml:space="preserve">
</t>
        </r>
        <r>
          <rPr>
            <sz val="10"/>
            <color indexed="8"/>
            <rFont val="Arial"/>
            <family val="2"/>
          </rPr>
          <t>Information from LCA of beds and mattresses "Bed mattresses - LCA and criteria proposals final report for the EC" by E.J.M. Deliege and D.S.C. Nijdam in 1998.</t>
        </r>
        <r>
          <rPr>
            <sz val="10"/>
            <color indexed="8"/>
            <rFont val="Arial"/>
            <family val="2"/>
          </rPr>
          <t xml:space="preserve">
</t>
        </r>
      </text>
    </comment>
    <comment ref="K5" authorId="0">
      <text>
        <r>
          <rPr>
            <b/>
            <sz val="10"/>
            <color indexed="8"/>
            <rFont val="Tahoma"/>
            <family val="2"/>
          </rPr>
          <t>Microsoft Office User:</t>
        </r>
        <r>
          <rPr>
            <sz val="10"/>
            <color indexed="8"/>
            <rFont val="Tahoma"/>
            <family val="2"/>
          </rPr>
          <t xml:space="preserve">
</t>
        </r>
        <r>
          <rPr>
            <sz val="10"/>
            <color indexed="8"/>
            <rFont val="Tahoma"/>
            <family val="2"/>
          </rPr>
          <t>Information from LCA of sofas "Beyond the throwaway society: A life cycle based assessment of the enviromental benefit of reuse" by Valentina Castellani et al. in 2015.</t>
        </r>
      </text>
    </comment>
    <comment ref="L5"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sofas "Beyond the throwaway society: A life cycle based assessment of the enviromental benefit of reuse" by Valentina Castellani et al. in 2015.
</t>
        </r>
      </text>
    </comment>
    <comment ref="O5"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materials used for packaging in subgroup (0511107).
</t>
        </r>
      </text>
    </comment>
    <comment ref="P5"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the amount of packaging used in subgroup (05311107).
</t>
        </r>
      </text>
    </comment>
    <comment ref="I52"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vacuum cleaners from separate brands weighing ca 5kg.</t>
        </r>
      </text>
    </comment>
    <comment ref="I42" authorId="0">
      <text>
        <r>
          <rPr>
            <b/>
            <sz val="10"/>
            <color indexed="8"/>
            <rFont val="Tahoma"/>
            <family val="2"/>
          </rPr>
          <t>Microsoft Office User:</t>
        </r>
        <r>
          <rPr>
            <sz val="10"/>
            <color indexed="8"/>
            <rFont val="Tahoma"/>
            <family val="2"/>
          </rPr>
          <t xml:space="preserve">
</t>
        </r>
        <r>
          <rPr>
            <sz val="10"/>
            <color indexed="8"/>
            <rFont val="Arial"/>
            <family val="2"/>
          </rPr>
          <t xml:space="preserve">Average price of 10 different microwaves from separate brands weighing ca 10 kg.
</t>
        </r>
      </text>
    </comment>
    <comment ref="I38" authorId="0">
      <text>
        <r>
          <rPr>
            <b/>
            <sz val="10"/>
            <color indexed="8"/>
            <rFont val="Tahoma"/>
            <family val="2"/>
          </rPr>
          <t>Microsoft Office User:</t>
        </r>
        <r>
          <rPr>
            <sz val="10"/>
            <color indexed="8"/>
            <rFont val="Tahoma"/>
            <family val="2"/>
          </rPr>
          <t xml:space="preserve">
</t>
        </r>
        <r>
          <rPr>
            <sz val="10"/>
            <color indexed="8"/>
            <rFont val="Arial"/>
            <family val="2"/>
          </rPr>
          <t>Average price of ten different dishwashers from separate brands weighing ca 50 kg.</t>
        </r>
        <r>
          <rPr>
            <sz val="10"/>
            <color indexed="8"/>
            <rFont val="Arial"/>
            <family val="2"/>
          </rPr>
          <t xml:space="preserve">
</t>
        </r>
      </text>
    </comment>
    <comment ref="I39" authorId="0">
      <text>
        <r>
          <rPr>
            <b/>
            <sz val="10"/>
            <color indexed="8"/>
            <rFont val="Tahoma"/>
            <family val="2"/>
          </rPr>
          <t>Microsoft Office User:</t>
        </r>
        <r>
          <rPr>
            <sz val="10"/>
            <color indexed="8"/>
            <rFont val="Tahoma"/>
            <family val="2"/>
          </rPr>
          <t xml:space="preserve">
</t>
        </r>
        <r>
          <rPr>
            <sz val="10"/>
            <color indexed="8"/>
            <rFont val="Arial"/>
            <family val="2"/>
          </rPr>
          <t>Average price of ten different washing machines from separate brands weighing ca 70kg.</t>
        </r>
        <r>
          <rPr>
            <sz val="10"/>
            <color indexed="8"/>
            <rFont val="Arial"/>
            <family val="2"/>
          </rPr>
          <t xml:space="preserve">
</t>
        </r>
      </text>
    </comment>
    <comment ref="I5"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sofas from separate brands weighing ca 60kg.</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beds from separate brands weighing ca 25kg.</t>
        </r>
      </text>
    </comment>
    <comment ref="O8" authorId="0">
      <text>
        <r>
          <rPr>
            <b/>
            <sz val="10"/>
            <color indexed="8"/>
            <rFont val="Tahoma"/>
            <family val="2"/>
          </rPr>
          <t>Microsoft Office User:</t>
        </r>
        <r>
          <rPr>
            <sz val="10"/>
            <color indexed="8"/>
            <rFont val="Tahoma"/>
            <family val="2"/>
          </rPr>
          <t xml:space="preserve">
</t>
        </r>
        <r>
          <rPr>
            <sz val="10"/>
            <color indexed="8"/>
            <rFont val="Arial"/>
            <family val="2"/>
          </rPr>
          <t>Estimate based on materials used for packaging in subgroup (0511107).</t>
        </r>
        <r>
          <rPr>
            <sz val="10"/>
            <color indexed="8"/>
            <rFont val="Arial"/>
            <family val="2"/>
          </rPr>
          <t xml:space="preserve">
</t>
        </r>
      </text>
    </comment>
    <comment ref="P8"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the amount of packaging used in subgroup (05311107).
</t>
        </r>
      </text>
    </comment>
    <comment ref="O14" authorId="0">
      <text>
        <r>
          <rPr>
            <b/>
            <sz val="10"/>
            <color indexed="8"/>
            <rFont val="Tahoma"/>
            <family val="2"/>
          </rPr>
          <t>Microsoft Office User:</t>
        </r>
        <r>
          <rPr>
            <sz val="10"/>
            <color indexed="8"/>
            <rFont val="Tahoma"/>
            <family val="2"/>
          </rPr>
          <t xml:space="preserve">
</t>
        </r>
        <r>
          <rPr>
            <sz val="10"/>
            <color indexed="8"/>
            <rFont val="Arial"/>
            <family val="2"/>
          </rPr>
          <t xml:space="preserve">Estimate based on materials used for packaging in subgroup (0511107).
</t>
        </r>
      </text>
    </comment>
    <comment ref="P14" authorId="0">
      <text>
        <r>
          <rPr>
            <b/>
            <sz val="10"/>
            <color indexed="8"/>
            <rFont val="Tahoma"/>
            <family val="2"/>
          </rPr>
          <t>Microsoft Office User:</t>
        </r>
        <r>
          <rPr>
            <sz val="10"/>
            <color indexed="8"/>
            <rFont val="Tahoma"/>
            <family val="2"/>
          </rPr>
          <t xml:space="preserve">
</t>
        </r>
        <r>
          <rPr>
            <sz val="10"/>
            <color indexed="8"/>
            <rFont val="Arial"/>
            <family val="2"/>
          </rPr>
          <t>Estimate based on the amount of packaging used in subgroup (05311107).</t>
        </r>
        <r>
          <rPr>
            <sz val="10"/>
            <color indexed="8"/>
            <rFont val="Arial"/>
            <family val="2"/>
          </rPr>
          <t xml:space="preserve">
</t>
        </r>
      </text>
    </comment>
    <comment ref="I82" authorId="0">
      <text>
        <r>
          <rPr>
            <b/>
            <sz val="10"/>
            <color indexed="8"/>
            <rFont val="Tahoma"/>
            <family val="2"/>
          </rPr>
          <t>Microsoft Office User:</t>
        </r>
        <r>
          <rPr>
            <sz val="10"/>
            <color indexed="8"/>
            <rFont val="Tahoma"/>
            <family val="2"/>
          </rPr>
          <t xml:space="preserve">
</t>
        </r>
        <r>
          <rPr>
            <sz val="10"/>
            <color indexed="8"/>
            <rFont val="Tahoma"/>
            <family val="2"/>
          </rPr>
          <t>Average price of 10 different rakes with an average weight of 1 kg.</t>
        </r>
      </text>
    </comment>
    <comment ref="N5" authorId="1">
      <text>
        <r>
          <rPr>
            <b/>
            <sz val="9"/>
            <rFont val="Tahoma"/>
            <family val="2"/>
          </rPr>
          <t>Annika Carlsson-Kanyama:</t>
        </r>
        <r>
          <rPr>
            <sz val="9"/>
            <rFont val="Tahoma"/>
            <family val="2"/>
          </rPr>
          <t xml:space="preserve">
More than 60% of IKEAS furniture coems from Europé. Ref home page.</t>
        </r>
      </text>
    </comment>
    <comment ref="L82" authorId="1">
      <text>
        <r>
          <rPr>
            <b/>
            <sz val="9"/>
            <rFont val="Tahoma"/>
            <family val="2"/>
          </rPr>
          <t>Annika Carlsson-Kanyama:</t>
        </r>
        <r>
          <rPr>
            <sz val="9"/>
            <rFont val="Tahoma"/>
            <family val="2"/>
          </rPr>
          <t xml:space="preserve">
Measured from a rake at Annikas home</t>
        </r>
      </text>
    </comment>
    <comment ref="N82" authorId="1">
      <text>
        <r>
          <rPr>
            <b/>
            <sz val="9"/>
            <rFont val="Tahoma"/>
            <family val="2"/>
          </rPr>
          <t>Annika Carlsson-Kanyama:</t>
        </r>
        <r>
          <rPr>
            <sz val="9"/>
            <rFont val="Tahoma"/>
            <family val="2"/>
          </rPr>
          <t xml:space="preserve">
According to Fiskars group home page the main continent for sourcing finished products lie in Asia</t>
        </r>
      </text>
    </comment>
    <comment ref="A1" authorId="1">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6.xml><?xml version="1.0" encoding="utf-8"?>
<comments xmlns="http://schemas.openxmlformats.org/spreadsheetml/2006/main">
  <authors>
    <author>Microsoft Office User</author>
    <author>Annika Carlsson-Kanyama</author>
  </authors>
  <commentList>
    <comment ref="N10" authorId="0">
      <text>
        <r>
          <rPr>
            <b/>
            <sz val="10"/>
            <color indexed="8"/>
            <rFont val="Tahoma"/>
            <family val="2"/>
          </rPr>
          <t>Microsoft Office User:</t>
        </r>
        <r>
          <rPr>
            <sz val="10"/>
            <color indexed="8"/>
            <rFont val="Tahoma"/>
            <family val="2"/>
          </rPr>
          <t xml:space="preserve">
</t>
        </r>
        <r>
          <rPr>
            <sz val="10"/>
            <color indexed="8"/>
            <rFont val="Arial"/>
            <family val="2"/>
          </rPr>
          <t>Origin country for the majority of imports in 2016 by tons of units. Data collected from, and available at, SCB.se.</t>
        </r>
        <r>
          <rPr>
            <sz val="10"/>
            <color indexed="8"/>
            <rFont val="Arial"/>
            <family val="2"/>
          </rPr>
          <t xml:space="preserve">
</t>
        </r>
      </text>
    </comment>
    <comment ref="N9" authorId="0">
      <text>
        <r>
          <rPr>
            <b/>
            <sz val="10"/>
            <color indexed="8"/>
            <rFont val="Tahoma"/>
            <family val="2"/>
          </rPr>
          <t>Microsoft Office User:</t>
        </r>
        <r>
          <rPr>
            <sz val="10"/>
            <color indexed="8"/>
            <rFont val="Tahoma"/>
            <family val="2"/>
          </rPr>
          <t xml:space="preserve">
</t>
        </r>
        <r>
          <rPr>
            <sz val="10"/>
            <color indexed="8"/>
            <rFont val="Arial"/>
            <family val="2"/>
          </rPr>
          <t>Origin country for the majority of imports in 2016 by tons of units. Data collected from, and available at, SCB.se.</t>
        </r>
        <r>
          <rPr>
            <sz val="10"/>
            <color indexed="8"/>
            <rFont val="Arial"/>
            <family val="2"/>
          </rPr>
          <t xml:space="preserve">
</t>
        </r>
      </text>
    </comment>
    <comment ref="I9" authorId="1">
      <text>
        <r>
          <rPr>
            <b/>
            <sz val="9"/>
            <rFont val="Tahoma"/>
            <family val="2"/>
          </rPr>
          <t>Annika Carlsson-Kanyama:</t>
        </r>
        <r>
          <rPr>
            <sz val="9"/>
            <rFont val="Tahoma"/>
            <family val="2"/>
          </rPr>
          <t xml:space="preserve">
Price of glasses commonly found in supermarkets</t>
        </r>
      </text>
    </comment>
    <comment ref="G5" authorId="1">
      <text>
        <r>
          <rPr>
            <b/>
            <sz val="9"/>
            <rFont val="Tahoma"/>
            <family val="2"/>
          </rPr>
          <t>Annika Carlsson-Kanyama:</t>
        </r>
        <r>
          <rPr>
            <sz val="9"/>
            <rFont val="Tahoma"/>
            <family val="2"/>
          </rPr>
          <t xml:space="preserve">
No basic goods available for these products
</t>
        </r>
      </text>
    </comment>
    <comment ref="A1" authorId="1">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7.xml><?xml version="1.0" encoding="utf-8"?>
<comments xmlns="http://schemas.openxmlformats.org/spreadsheetml/2006/main">
  <authors>
    <author>Annika Carlsson-Kanyama</author>
  </authors>
  <commentList>
    <comment ref="H4" authorId="0">
      <text>
        <r>
          <rPr>
            <b/>
            <sz val="9"/>
            <rFont val="Tahoma"/>
            <family val="2"/>
          </rPr>
          <t>Annika Carlsson-Kanyama:</t>
        </r>
        <r>
          <rPr>
            <sz val="9"/>
            <rFont val="Tahoma"/>
            <family val="2"/>
          </rPr>
          <t xml:space="preserve">
Prices at Elgiganten and Mediamarkt september 2019.Since the price has probably gone down since 2019 this price was used in the analysis.</t>
        </r>
      </text>
    </comment>
    <comment ref="A1" authorId="0">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comments8.xml><?xml version="1.0" encoding="utf-8"?>
<comments xmlns="http://schemas.openxmlformats.org/spreadsheetml/2006/main">
  <authors>
    <author>Microsoft Office User</author>
    <author>Annika Carlsson-Kanyama</author>
  </authors>
  <commentList>
    <comment ref="K17"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K18"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K19"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K20"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P17"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P18"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P19"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P20"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K30"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M30" authorId="0">
      <text>
        <r>
          <rPr>
            <b/>
            <sz val="10"/>
            <color indexed="8"/>
            <rFont val="Tahoma"/>
            <family val="2"/>
          </rPr>
          <t>Microsoft Office User:</t>
        </r>
        <r>
          <rPr>
            <sz val="10"/>
            <color indexed="8"/>
            <rFont val="Tahoma"/>
            <family val="2"/>
          </rPr>
          <t xml:space="preserve">
</t>
        </r>
        <r>
          <rPr>
            <sz val="10"/>
            <color indexed="8"/>
            <rFont val="Tahoma"/>
            <family val="2"/>
          </rPr>
          <t xml:space="preserve">Information from LCA on leather waste "Wastes in the leather products industry" produced for the UNIDO leather panel from 2000.
</t>
        </r>
      </text>
    </comment>
    <comment ref="N30"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country/countries for the majority of imports in 2016 by tons of units. Data collected from, and available at, SCB.se.
</t>
        </r>
      </text>
    </comment>
    <comment ref="L25" authorId="0">
      <text>
        <r>
          <rPr>
            <b/>
            <sz val="10"/>
            <color indexed="8"/>
            <rFont val="Tahoma"/>
            <family val="2"/>
          </rPr>
          <t>Microsoft Office User:</t>
        </r>
        <r>
          <rPr>
            <sz val="10"/>
            <color indexed="8"/>
            <rFont val="Tahoma"/>
            <family val="2"/>
          </rPr>
          <t xml:space="preserve">
</t>
        </r>
        <r>
          <rPr>
            <sz val="10"/>
            <color indexed="8"/>
            <rFont val="Tahoma"/>
            <family val="2"/>
          </rPr>
          <t xml:space="preserve">Information from LCA on diapers "Evolution of disposable baby diapers in Europe: life cycle assessment of enviromental impacts and indentification of key areas of improvement" by M. Cordella et al. from 2015. </t>
        </r>
      </text>
    </comment>
    <comment ref="P25" authorId="0">
      <text>
        <r>
          <rPr>
            <b/>
            <sz val="10"/>
            <color indexed="8"/>
            <rFont val="Tahoma"/>
            <family val="2"/>
          </rPr>
          <t>Microsoft Office User:</t>
        </r>
        <r>
          <rPr>
            <sz val="10"/>
            <color indexed="8"/>
            <rFont val="Tahoma"/>
            <family val="2"/>
          </rPr>
          <t xml:space="preserve">
</t>
        </r>
        <r>
          <rPr>
            <sz val="10"/>
            <color indexed="8"/>
            <rFont val="Tahoma"/>
            <family val="2"/>
          </rPr>
          <t>Weighed in store.</t>
        </r>
      </text>
    </comment>
    <comment ref="L24" authorId="0">
      <text>
        <r>
          <rPr>
            <b/>
            <sz val="10"/>
            <color indexed="8"/>
            <rFont val="Tahoma"/>
            <family val="2"/>
          </rPr>
          <t>Microsoft Office User:</t>
        </r>
        <r>
          <rPr>
            <sz val="10"/>
            <color indexed="8"/>
            <rFont val="Tahoma"/>
            <family val="2"/>
          </rPr>
          <t xml:space="preserve">
</t>
        </r>
        <r>
          <rPr>
            <sz val="10"/>
            <color indexed="8"/>
            <rFont val="Tahoma"/>
            <family val="2"/>
          </rPr>
          <t>Information from LCA on sanitary pads "Comparative life cycle assessment of sanitary pads and tampons" by M. Mazgaj et al. from 2006.</t>
        </r>
      </text>
    </comment>
    <comment ref="P24" authorId="0">
      <text>
        <r>
          <rPr>
            <b/>
            <sz val="10"/>
            <color indexed="8"/>
            <rFont val="Tahoma"/>
            <family val="2"/>
          </rPr>
          <t>Microsoft Office User:</t>
        </r>
        <r>
          <rPr>
            <sz val="10"/>
            <color indexed="8"/>
            <rFont val="Tahoma"/>
            <family val="2"/>
          </rPr>
          <t xml:space="preserve">
</t>
        </r>
        <r>
          <rPr>
            <sz val="10"/>
            <color indexed="8"/>
            <rFont val="Arial"/>
            <family val="2"/>
          </rPr>
          <t>Information from LCA on sanitary pads "Comparative life cycle assessment of sanitary pads and tampons" by M. Mazgaj et al. from 2006.</t>
        </r>
        <r>
          <rPr>
            <sz val="10"/>
            <color indexed="8"/>
            <rFont val="Arial"/>
            <family val="2"/>
          </rPr>
          <t xml:space="preserve">
</t>
        </r>
      </text>
    </comment>
    <comment ref="N25"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24"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19"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18"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17"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31"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J116" authorId="1">
      <text>
        <r>
          <rPr>
            <b/>
            <sz val="9"/>
            <rFont val="Tahoma"/>
            <family val="2"/>
          </rPr>
          <t>Annika Carlsson-Kanyama:</t>
        </r>
        <r>
          <rPr>
            <sz val="9"/>
            <rFont val="Tahoma"/>
            <family val="2"/>
          </rPr>
          <t xml:space="preserve">
Assuming this is membership fees in an NGO</t>
        </r>
      </text>
    </comment>
  </commentList>
</comments>
</file>

<file path=xl/comments9.xml><?xml version="1.0" encoding="utf-8"?>
<comments xmlns="http://schemas.openxmlformats.org/spreadsheetml/2006/main">
  <authors>
    <author>Microsoft Office User</author>
    <author>Annika Carlsson-Kanyama</author>
  </authors>
  <commentList>
    <comment ref="I61" authorId="0">
      <text>
        <r>
          <rPr>
            <b/>
            <sz val="10"/>
            <color indexed="8"/>
            <rFont val="Tahoma"/>
            <family val="2"/>
          </rPr>
          <t>Microsoft Office User:</t>
        </r>
        <r>
          <rPr>
            <sz val="10"/>
            <color indexed="8"/>
            <rFont val="Tahoma"/>
            <family val="2"/>
          </rPr>
          <t xml:space="preserve">
</t>
        </r>
        <r>
          <rPr>
            <sz val="10"/>
            <color indexed="8"/>
            <rFont val="Tahoma"/>
            <family val="2"/>
          </rPr>
          <t>Price collected at ArkenZoo may 2019.</t>
        </r>
      </text>
    </comment>
    <comment ref="K61" authorId="0">
      <text>
        <r>
          <rPr>
            <b/>
            <sz val="10"/>
            <color indexed="8"/>
            <rFont val="Tahoma"/>
            <family val="2"/>
          </rPr>
          <t>Microsoft Office User:</t>
        </r>
        <r>
          <rPr>
            <sz val="10"/>
            <color indexed="8"/>
            <rFont val="Tahoma"/>
            <family val="2"/>
          </rPr>
          <t xml:space="preserve">
</t>
        </r>
        <r>
          <rPr>
            <sz val="10"/>
            <color indexed="8"/>
            <rFont val="Tahoma"/>
            <family val="2"/>
          </rPr>
          <t>Weighed in store, may 2019.</t>
        </r>
      </text>
    </comment>
    <comment ref="N61" authorId="0">
      <text>
        <r>
          <rPr>
            <b/>
            <sz val="10"/>
            <color indexed="8"/>
            <rFont val="Tahoma"/>
            <family val="2"/>
          </rPr>
          <t>Microsoft Office User:</t>
        </r>
        <r>
          <rPr>
            <sz val="10"/>
            <color indexed="8"/>
            <rFont val="Tahoma"/>
            <family val="2"/>
          </rPr>
          <t xml:space="preserve">
</t>
        </r>
        <r>
          <rPr>
            <sz val="10"/>
            <color indexed="8"/>
            <rFont val="Tahoma"/>
            <family val="2"/>
          </rPr>
          <t>Information from ArkenZoo customer service, may 2019.</t>
        </r>
      </text>
    </comment>
    <comment ref="N54" authorId="0">
      <text>
        <r>
          <rPr>
            <b/>
            <sz val="10"/>
            <color indexed="8"/>
            <rFont val="Tahoma"/>
            <family val="2"/>
          </rPr>
          <t>Microsoft Office User:</t>
        </r>
        <r>
          <rPr>
            <sz val="10"/>
            <color indexed="8"/>
            <rFont val="Tahoma"/>
            <family val="2"/>
          </rPr>
          <t xml:space="preserve">
</t>
        </r>
        <r>
          <rPr>
            <sz val="10"/>
            <color indexed="8"/>
            <rFont val="Tahoma"/>
            <family val="2"/>
          </rPr>
          <t>Information from Claes Ohlson customer service, may 2019.</t>
        </r>
      </text>
    </comment>
    <comment ref="I54" authorId="0">
      <text>
        <r>
          <rPr>
            <b/>
            <sz val="10"/>
            <color indexed="8"/>
            <rFont val="Tahoma"/>
            <family val="2"/>
          </rPr>
          <t>Microsoft Office User:</t>
        </r>
        <r>
          <rPr>
            <sz val="10"/>
            <color indexed="8"/>
            <rFont val="Tahoma"/>
            <family val="2"/>
          </rPr>
          <t xml:space="preserve">
</t>
        </r>
        <r>
          <rPr>
            <sz val="10"/>
            <color indexed="8"/>
            <rFont val="Tahoma"/>
            <family val="2"/>
          </rPr>
          <t>Price collected at Clas Ohlson may 2019.</t>
        </r>
      </text>
    </comment>
    <comment ref="L54" authorId="0">
      <text>
        <r>
          <rPr>
            <b/>
            <sz val="10"/>
            <color indexed="8"/>
            <rFont val="Tahoma"/>
            <family val="2"/>
          </rPr>
          <t>Microsoft Office User:</t>
        </r>
        <r>
          <rPr>
            <sz val="10"/>
            <color indexed="8"/>
            <rFont val="Tahoma"/>
            <family val="2"/>
          </rPr>
          <t xml:space="preserve">
</t>
        </r>
        <r>
          <rPr>
            <sz val="10"/>
            <color indexed="8"/>
            <rFont val="Tahoma"/>
            <family val="2"/>
          </rPr>
          <t>Information from Clas ohlson customer service, may 2019.</t>
        </r>
      </text>
    </comment>
    <comment ref="K54"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Clas ohlson customer service, may 2019.
</t>
        </r>
      </text>
    </comment>
    <comment ref="K4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L4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M48" authorId="0">
      <text>
        <r>
          <rPr>
            <b/>
            <sz val="10"/>
            <color indexed="8"/>
            <rFont val="Tahoma"/>
            <family val="2"/>
          </rPr>
          <t>Microsoft Office User:</t>
        </r>
        <r>
          <rPr>
            <sz val="10"/>
            <color indexed="8"/>
            <rFont val="Tahoma"/>
            <family val="2"/>
          </rPr>
          <t xml:space="preserve">
</t>
        </r>
        <r>
          <rPr>
            <sz val="10"/>
            <color indexed="8"/>
            <rFont val="Arial"/>
            <family val="2"/>
          </rPr>
          <t>Information from LCA of video games "The carbon footprint of games distribution" by K. Mayers et al. in 2014.</t>
        </r>
        <r>
          <rPr>
            <sz val="10"/>
            <color indexed="8"/>
            <rFont val="Arial"/>
            <family val="2"/>
          </rPr>
          <t xml:space="preserve">
</t>
        </r>
      </text>
    </comment>
    <comment ref="O48"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P48" authorId="0">
      <text>
        <r>
          <rPr>
            <b/>
            <sz val="10"/>
            <color indexed="8"/>
            <rFont val="Tahoma"/>
            <family val="2"/>
          </rPr>
          <t>Microsoft Office User:</t>
        </r>
        <r>
          <rPr>
            <sz val="10"/>
            <color indexed="8"/>
            <rFont val="Tahoma"/>
            <family val="2"/>
          </rPr>
          <t xml:space="preserve">
</t>
        </r>
        <r>
          <rPr>
            <sz val="10"/>
            <color indexed="8"/>
            <rFont val="Arial"/>
            <family val="2"/>
          </rPr>
          <t>Information from LCA of video games "The carbon footprint of games distribution" by K. Mayers et al. in 2014.</t>
        </r>
        <r>
          <rPr>
            <sz val="10"/>
            <color indexed="8"/>
            <rFont val="Arial"/>
            <family val="2"/>
          </rPr>
          <t xml:space="preserve">
</t>
        </r>
      </text>
    </comment>
    <comment ref="K2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L2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M2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O2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P2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video games "The carbon footprint of games distribution" by K. Mayers et al. in 2014.
</t>
        </r>
      </text>
    </comment>
    <comment ref="L53" authorId="0">
      <text>
        <r>
          <rPr>
            <b/>
            <sz val="10"/>
            <color indexed="8"/>
            <rFont val="Tahoma"/>
            <family val="2"/>
          </rPr>
          <t>Microsoft Office User:</t>
        </r>
        <r>
          <rPr>
            <sz val="10"/>
            <color indexed="8"/>
            <rFont val="Tahoma"/>
            <family val="2"/>
          </rPr>
          <t xml:space="preserve">
</t>
        </r>
        <r>
          <rPr>
            <sz val="10"/>
            <color indexed="8"/>
            <rFont val="Tahoma"/>
            <family val="2"/>
          </rPr>
          <t>Information from LCA of sports equipment "Life cycle assessment and evaluation of enviromental impact of sports equipment" by Aleksandar Subic and Niall Paterson in 2006.</t>
        </r>
      </text>
    </comment>
    <comment ref="M53"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sports equipment "Life cycle assessment and evaluation of enviromental impact of sports equipment" by Aleksandar Subic and Niall Paterson in 2006.
</t>
        </r>
      </text>
    </comment>
    <comment ref="K53"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sports equipment "Life cycle assessment and evaluation of enviromental impact of sports equipment" by Aleksandar Subic and Niall Paterson in 2006.
</t>
        </r>
      </text>
    </comment>
    <comment ref="O53"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sports equipment "Life cycle assessment and evaluation of enviromental impact of sports equipment" by Aleksandar Subic and Niall Paterson in 2006.
</t>
        </r>
      </text>
    </comment>
    <comment ref="P53"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of sports equipment "Life cycle assessment and evaluation of enviromental impact of sports equipment" by Aleksandar Subic and Niall Paterson in 2006.
</t>
        </r>
      </text>
    </comment>
    <comment ref="P18"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N57" authorId="0">
      <text>
        <r>
          <rPr>
            <b/>
            <sz val="10"/>
            <color indexed="8"/>
            <rFont val="Tahoma"/>
            <family val="2"/>
          </rPr>
          <t>Microsoft Office User:</t>
        </r>
        <r>
          <rPr>
            <sz val="10"/>
            <color indexed="8"/>
            <rFont val="Tahoma"/>
            <family val="2"/>
          </rPr>
          <t xml:space="preserve">
</t>
        </r>
        <r>
          <rPr>
            <sz val="10"/>
            <color indexed="8"/>
            <rFont val="Tahoma"/>
            <family val="2"/>
          </rPr>
          <t>Netonnet customer service, may 2019.</t>
        </r>
      </text>
    </comment>
    <comment ref="I57" authorId="0">
      <text>
        <r>
          <rPr>
            <b/>
            <sz val="10"/>
            <color indexed="8"/>
            <rFont val="Tahoma"/>
            <family val="2"/>
          </rPr>
          <t>Microsoft Office User:</t>
        </r>
        <r>
          <rPr>
            <sz val="10"/>
            <color indexed="8"/>
            <rFont val="Tahoma"/>
            <family val="2"/>
          </rPr>
          <t xml:space="preserve">
</t>
        </r>
        <r>
          <rPr>
            <sz val="10"/>
            <color indexed="8"/>
            <rFont val="Tahoma"/>
            <family val="2"/>
          </rPr>
          <t>Price collected at Netonnet online store, may 2019.</t>
        </r>
      </text>
    </comment>
    <comment ref="M57" authorId="0">
      <text>
        <r>
          <rPr>
            <b/>
            <sz val="10"/>
            <color indexed="8"/>
            <rFont val="Tahoma"/>
            <family val="2"/>
          </rPr>
          <t>Microsoft Office User:</t>
        </r>
        <r>
          <rPr>
            <sz val="10"/>
            <color indexed="8"/>
            <rFont val="Tahoma"/>
            <family val="2"/>
          </rPr>
          <t xml:space="preserve">
</t>
        </r>
        <r>
          <rPr>
            <sz val="10"/>
            <color indexed="8"/>
            <rFont val="Tahoma"/>
            <family val="2"/>
          </rPr>
          <t>Information from LCA of charcoal "Life cycle analysis of charcoal production in masonry kilns with and without carbonization process generated gas combustion" by S.F.O.M. Santos et al. in 2017.</t>
        </r>
      </text>
    </comment>
    <comment ref="K49" authorId="0">
      <text>
        <r>
          <rPr>
            <b/>
            <sz val="10"/>
            <color indexed="8"/>
            <rFont val="Tahoma"/>
            <family val="2"/>
          </rPr>
          <t>Microsoft Office User:</t>
        </r>
        <r>
          <rPr>
            <sz val="10"/>
            <color indexed="8"/>
            <rFont val="Tahoma"/>
            <family val="2"/>
          </rPr>
          <t xml:space="preserve">
</t>
        </r>
        <r>
          <rPr>
            <sz val="10"/>
            <color indexed="8"/>
            <rFont val="Tahoma"/>
            <family val="2"/>
          </rPr>
          <t>Weighed in store.</t>
        </r>
      </text>
    </comment>
    <comment ref="L49" authorId="0">
      <text>
        <r>
          <rPr>
            <b/>
            <sz val="10"/>
            <color indexed="8"/>
            <rFont val="Tahoma"/>
            <family val="2"/>
          </rPr>
          <t>Microsoft Office User:</t>
        </r>
        <r>
          <rPr>
            <sz val="10"/>
            <color indexed="8"/>
            <rFont val="Tahoma"/>
            <family val="2"/>
          </rPr>
          <t xml:space="preserve">
</t>
        </r>
        <r>
          <rPr>
            <sz val="10"/>
            <color indexed="8"/>
            <rFont val="Tahoma"/>
            <family val="2"/>
          </rPr>
          <t>Information from product label.</t>
        </r>
      </text>
    </comment>
    <comment ref="I49" authorId="0">
      <text>
        <r>
          <rPr>
            <b/>
            <sz val="10"/>
            <color indexed="8"/>
            <rFont val="Tahoma"/>
            <family val="2"/>
          </rPr>
          <t>Microsoft Office User:</t>
        </r>
        <r>
          <rPr>
            <sz val="10"/>
            <color indexed="8"/>
            <rFont val="Tahoma"/>
            <family val="2"/>
          </rPr>
          <t xml:space="preserve">
</t>
        </r>
        <r>
          <rPr>
            <sz val="10"/>
            <color indexed="8"/>
            <rFont val="Tahoma"/>
            <family val="2"/>
          </rPr>
          <t>Price at Leksaksborgen, may 2019.</t>
        </r>
      </text>
    </comment>
    <comment ref="I18" authorId="0">
      <text>
        <r>
          <rPr>
            <b/>
            <sz val="10"/>
            <color indexed="8"/>
            <rFont val="Tahoma"/>
            <family val="2"/>
          </rPr>
          <t>Microsoft Office User:</t>
        </r>
        <r>
          <rPr>
            <sz val="10"/>
            <color indexed="8"/>
            <rFont val="Tahoma"/>
            <family val="2"/>
          </rPr>
          <t xml:space="preserve">
</t>
        </r>
        <r>
          <rPr>
            <sz val="10"/>
            <color indexed="8"/>
            <rFont val="Arial"/>
            <family val="2"/>
          </rPr>
          <t>Average price of ten different laptops from separate brands.</t>
        </r>
        <r>
          <rPr>
            <sz val="10"/>
            <color indexed="8"/>
            <rFont val="Arial"/>
            <family val="2"/>
          </rPr>
          <t xml:space="preserve">
</t>
        </r>
      </text>
    </comment>
    <comment ref="I6" authorId="0">
      <text>
        <r>
          <rPr>
            <b/>
            <sz val="10"/>
            <color indexed="8"/>
            <rFont val="Tahoma"/>
            <family val="2"/>
          </rPr>
          <t>Microsoft Office User:</t>
        </r>
        <r>
          <rPr>
            <sz val="10"/>
            <color indexed="8"/>
            <rFont val="Tahoma"/>
            <family val="2"/>
          </rPr>
          <t xml:space="preserve">
</t>
        </r>
        <r>
          <rPr>
            <sz val="10"/>
            <color indexed="8"/>
            <rFont val="Arial"/>
            <family val="2"/>
          </rPr>
          <t xml:space="preserve">Average price of ten different LCD TVs from separate brands.
</t>
        </r>
      </text>
    </comment>
    <comment ref="K18" authorId="0">
      <text>
        <r>
          <rPr>
            <b/>
            <sz val="10"/>
            <color indexed="8"/>
            <rFont val="Tahoma"/>
            <family val="2"/>
          </rPr>
          <t>Microsoft Office User:</t>
        </r>
        <r>
          <rPr>
            <sz val="10"/>
            <color indexed="8"/>
            <rFont val="Tahoma"/>
            <family val="2"/>
          </rPr>
          <t xml:space="preserve">
</t>
        </r>
        <r>
          <rPr>
            <sz val="10"/>
            <color indexed="8"/>
            <rFont val="Arial"/>
            <family val="2"/>
          </rPr>
          <t>Average weight of ten different laptops from separate brands.</t>
        </r>
        <r>
          <rPr>
            <sz val="10"/>
            <color indexed="8"/>
            <rFont val="Arial"/>
            <family val="2"/>
          </rPr>
          <t xml:space="preserve">
</t>
        </r>
      </text>
    </comment>
    <comment ref="K6" authorId="0">
      <text>
        <r>
          <rPr>
            <b/>
            <sz val="10"/>
            <color indexed="8"/>
            <rFont val="Tahoma"/>
            <family val="2"/>
          </rPr>
          <t>Microsoft Office User:</t>
        </r>
        <r>
          <rPr>
            <sz val="10"/>
            <color indexed="8"/>
            <rFont val="Tahoma"/>
            <family val="2"/>
          </rPr>
          <t xml:space="preserve">
</t>
        </r>
        <r>
          <rPr>
            <sz val="10"/>
            <color indexed="8"/>
            <rFont val="Arial"/>
            <family val="2"/>
          </rPr>
          <t xml:space="preserve">Average weight of ten different LCD TVs from separate brands.
</t>
        </r>
      </text>
    </comment>
    <comment ref="O6" authorId="0">
      <text>
        <r>
          <rPr>
            <b/>
            <sz val="10"/>
            <color indexed="8"/>
            <rFont val="Tahoma"/>
            <family val="2"/>
          </rPr>
          <t>Microsoft Office User:</t>
        </r>
        <r>
          <rPr>
            <sz val="10"/>
            <color indexed="8"/>
            <rFont val="Tahoma"/>
            <family val="2"/>
          </rPr>
          <t xml:space="preserve">
</t>
        </r>
        <r>
          <rPr>
            <sz val="10"/>
            <color indexed="8"/>
            <rFont val="Tahoma"/>
            <family val="2"/>
          </rPr>
          <t>Estimate based on the materials used in packaging in category (0913)</t>
        </r>
      </text>
    </comment>
    <comment ref="P6" authorId="0">
      <text>
        <r>
          <rPr>
            <b/>
            <sz val="10"/>
            <color indexed="8"/>
            <rFont val="Tahoma"/>
            <family val="2"/>
          </rPr>
          <t>Microsoft Office User:</t>
        </r>
        <r>
          <rPr>
            <sz val="10"/>
            <color indexed="8"/>
            <rFont val="Tahoma"/>
            <family val="2"/>
          </rPr>
          <t xml:space="preserve">
</t>
        </r>
        <r>
          <rPr>
            <sz val="10"/>
            <color indexed="8"/>
            <rFont val="Tahoma"/>
            <family val="2"/>
          </rPr>
          <t>Estimate based on the amout of packaging materials used in category (0913).</t>
        </r>
      </text>
    </comment>
    <comment ref="I21"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DVDs released in 2019.</t>
        </r>
      </text>
    </comment>
    <comment ref="I48"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videogames for PC, Xbox and PS4 released in 2019.</t>
        </r>
      </text>
    </comment>
    <comment ref="I53"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tennis rackets from separate brands.</t>
        </r>
      </text>
    </comment>
    <comment ref="I97" authorId="0">
      <text>
        <r>
          <rPr>
            <b/>
            <sz val="10"/>
            <color indexed="8"/>
            <rFont val="Tahoma"/>
            <family val="2"/>
          </rPr>
          <t>Microsoft Office User:</t>
        </r>
        <r>
          <rPr>
            <sz val="10"/>
            <color indexed="8"/>
            <rFont val="Tahoma"/>
            <family val="2"/>
          </rPr>
          <t xml:space="preserve">
</t>
        </r>
        <r>
          <rPr>
            <sz val="10"/>
            <color indexed="8"/>
            <rFont val="Tahoma"/>
            <family val="2"/>
          </rPr>
          <t>The price per month of subscription is 39 SEK with new issues every two months.</t>
        </r>
      </text>
    </comment>
    <comment ref="K97"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I5"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clock radios from separate brands with an average weight of</t>
        </r>
      </text>
    </comment>
    <comment ref="K5" authorId="0">
      <text>
        <r>
          <rPr>
            <b/>
            <sz val="10"/>
            <color indexed="8"/>
            <rFont val="Tahoma"/>
            <family val="2"/>
          </rPr>
          <t>Microsoft Office User:</t>
        </r>
        <r>
          <rPr>
            <sz val="10"/>
            <color indexed="8"/>
            <rFont val="Tahoma"/>
            <family val="2"/>
          </rPr>
          <t xml:space="preserve">
</t>
        </r>
        <r>
          <rPr>
            <sz val="10"/>
            <color indexed="8"/>
            <rFont val="Tahoma"/>
            <family val="2"/>
          </rPr>
          <t>Weighed at home.</t>
        </r>
      </text>
    </comment>
    <comment ref="L5" authorId="0">
      <text>
        <r>
          <rPr>
            <b/>
            <sz val="10"/>
            <color indexed="8"/>
            <rFont val="Tahoma"/>
            <family val="2"/>
          </rPr>
          <t>Microsoft Office User:</t>
        </r>
        <r>
          <rPr>
            <sz val="10"/>
            <color indexed="8"/>
            <rFont val="Tahoma"/>
            <family val="2"/>
          </rPr>
          <t xml:space="preserve">
</t>
        </r>
        <r>
          <rPr>
            <sz val="10"/>
            <color indexed="8"/>
            <rFont val="Tahoma"/>
            <family val="2"/>
          </rPr>
          <t>Information aquired by dissasembling a typical clock radio.</t>
        </r>
      </text>
    </comment>
    <comment ref="N5"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country/countries for the majority of imports in 2016 by tons of units. Data collected from, and available at, SCB.se.
</t>
        </r>
      </text>
    </comment>
    <comment ref="N49"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country/countries for the majority of imports in 2016 by tons of units. Data collected from, and available at, SCB.se.
</t>
        </r>
      </text>
    </comment>
    <comment ref="N51"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53"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country/countries for the majority of imports in 2016 by tons of units. Data collected from, and available at, SCB.se.
</t>
        </r>
      </text>
    </comment>
    <comment ref="N31" authorId="0">
      <text>
        <r>
          <rPr>
            <b/>
            <sz val="10"/>
            <color indexed="8"/>
            <rFont val="Tahoma"/>
            <family val="2"/>
          </rPr>
          <t>Microsoft Office User:</t>
        </r>
        <r>
          <rPr>
            <sz val="10"/>
            <color indexed="8"/>
            <rFont val="Tahoma"/>
            <family val="2"/>
          </rPr>
          <t xml:space="preserve">
</t>
        </r>
        <r>
          <rPr>
            <sz val="10"/>
            <color indexed="8"/>
            <rFont val="Arial"/>
            <family val="2"/>
          </rPr>
          <t xml:space="preserve">Origin country/countries for the majority of imports in 2016 by tons of units. Data collected from, and available at, SCB.se.
</t>
        </r>
      </text>
    </comment>
    <comment ref="K31" authorId="0">
      <text>
        <r>
          <rPr>
            <b/>
            <sz val="10"/>
            <color indexed="8"/>
            <rFont val="Tahoma"/>
            <family val="2"/>
          </rPr>
          <t>Microsoft Office User:</t>
        </r>
        <r>
          <rPr>
            <sz val="10"/>
            <color indexed="8"/>
            <rFont val="Tahoma"/>
            <family val="2"/>
          </rPr>
          <t xml:space="preserve">
</t>
        </r>
        <r>
          <rPr>
            <sz val="10"/>
            <color indexed="8"/>
            <rFont val="Tahoma"/>
            <family val="2"/>
          </rPr>
          <t>Information from LCA on boats "Diagnosis, state of the art of boat and boat scrapping" by Miguel Ventura Monsó in 2008.</t>
        </r>
      </text>
    </comment>
    <comment ref="L3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on boats "Diagnosis, state of the art of boat and boat scrapping" by Miguel Ventura Monsó in 2008.
</t>
        </r>
      </text>
    </comment>
    <comment ref="M31"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from LCA on boats "Diagnosis, state of the art of boat and boat scrapping" by Miguel Ventura Monsó in 2008.
</t>
        </r>
      </text>
    </comment>
    <comment ref="O5" authorId="0">
      <text>
        <r>
          <rPr>
            <b/>
            <sz val="10"/>
            <color indexed="8"/>
            <rFont val="Tahoma"/>
            <family val="2"/>
          </rPr>
          <t>Microsoft Office User:</t>
        </r>
        <r>
          <rPr>
            <sz val="10"/>
            <color indexed="8"/>
            <rFont val="Tahoma"/>
            <family val="2"/>
          </rPr>
          <t xml:space="preserve">
</t>
        </r>
        <r>
          <rPr>
            <sz val="10"/>
            <color indexed="8"/>
            <rFont val="Tahoma"/>
            <family val="2"/>
          </rPr>
          <t>Estimate based on the materials used in packaging in category (0913)</t>
        </r>
      </text>
    </comment>
    <comment ref="P5" authorId="0">
      <text>
        <r>
          <rPr>
            <b/>
            <sz val="10"/>
            <color indexed="8"/>
            <rFont val="Tahoma"/>
            <family val="2"/>
          </rPr>
          <t>Microsoft Office User:</t>
        </r>
        <r>
          <rPr>
            <sz val="10"/>
            <color indexed="8"/>
            <rFont val="Tahoma"/>
            <family val="2"/>
          </rPr>
          <t xml:space="preserve">
</t>
        </r>
        <r>
          <rPr>
            <sz val="10"/>
            <color indexed="8"/>
            <rFont val="Tahoma"/>
            <family val="2"/>
          </rPr>
          <t>Estimate based on the amout of packaging materials used in category (0913).</t>
        </r>
      </text>
    </comment>
    <comment ref="M97" authorId="0">
      <text>
        <r>
          <rPr>
            <b/>
            <sz val="10"/>
            <color indexed="8"/>
            <rFont val="Tahoma"/>
            <family val="2"/>
          </rPr>
          <t>Microsoft Office User:</t>
        </r>
        <r>
          <rPr>
            <sz val="10"/>
            <color indexed="8"/>
            <rFont val="Tahoma"/>
            <family val="2"/>
          </rPr>
          <t xml:space="preserve">
</t>
        </r>
        <r>
          <rPr>
            <sz val="10"/>
            <color indexed="8"/>
            <rFont val="Tahoma"/>
            <family val="2"/>
          </rPr>
          <t>Information from analysis on the amount of waste generated in the Swedish printing industry "Reducing paper waste to improve resource efficiency at a swedish printing and packaging company" by Madeleine Lundberg and Casper Manne Wallin in 2016.</t>
        </r>
      </text>
    </comment>
    <comment ref="N97" authorId="0">
      <text>
        <r>
          <rPr>
            <b/>
            <sz val="10"/>
            <color indexed="8"/>
            <rFont val="Tahoma"/>
            <family val="2"/>
          </rPr>
          <t>Microsoft Office User:</t>
        </r>
        <r>
          <rPr>
            <sz val="10"/>
            <color indexed="8"/>
            <rFont val="Tahoma"/>
            <family val="2"/>
          </rPr>
          <t xml:space="preserve">
</t>
        </r>
        <r>
          <rPr>
            <sz val="10"/>
            <color indexed="8"/>
            <rFont val="Tahoma"/>
            <family val="2"/>
          </rPr>
          <t>Information from product.</t>
        </r>
      </text>
    </comment>
    <comment ref="K96" authorId="0">
      <text>
        <r>
          <rPr>
            <b/>
            <sz val="10"/>
            <color indexed="8"/>
            <rFont val="Tahoma"/>
            <family val="2"/>
          </rPr>
          <t>Microsoft Office User:</t>
        </r>
        <r>
          <rPr>
            <sz val="10"/>
            <color indexed="8"/>
            <rFont val="Tahoma"/>
            <family val="2"/>
          </rPr>
          <t xml:space="preserve">
</t>
        </r>
        <r>
          <rPr>
            <sz val="10"/>
            <color indexed="8"/>
            <rFont val="Tahoma"/>
            <family val="2"/>
          </rPr>
          <t>Information from LCA on newspapers "A life cycle assessment of the production of a daily newspaper and a weekly magazine" by K. Krokowski et al. in 1998.</t>
        </r>
      </text>
    </comment>
    <comment ref="K94" authorId="0">
      <text>
        <r>
          <rPr>
            <b/>
            <sz val="10"/>
            <color indexed="8"/>
            <rFont val="Tahoma"/>
            <family val="2"/>
          </rPr>
          <t>Microsoft Office User:</t>
        </r>
        <r>
          <rPr>
            <sz val="10"/>
            <color indexed="8"/>
            <rFont val="Tahoma"/>
            <family val="2"/>
          </rPr>
          <t xml:space="preserve">
</t>
        </r>
        <r>
          <rPr>
            <sz val="10"/>
            <color indexed="8"/>
            <rFont val="Tahoma"/>
            <family val="2"/>
          </rPr>
          <t>Average weight of ten paperback books. Weighed at home, may 2019.</t>
        </r>
      </text>
    </comment>
    <comment ref="M94" authorId="0">
      <text>
        <r>
          <rPr>
            <b/>
            <sz val="10"/>
            <color indexed="8"/>
            <rFont val="Tahoma"/>
            <family val="2"/>
          </rPr>
          <t>Microsoft Office User:</t>
        </r>
        <r>
          <rPr>
            <sz val="10"/>
            <color indexed="8"/>
            <rFont val="Tahoma"/>
            <family val="2"/>
          </rPr>
          <t xml:space="preserve">
</t>
        </r>
        <r>
          <rPr>
            <sz val="10"/>
            <color indexed="8"/>
            <rFont val="Arial"/>
            <family val="2"/>
          </rPr>
          <t>Information from analysis on the amount of waste generated in the Swedish printing industry "Reducing paper waste to improve resource efficiency at a swedish printing and packaging company" by Madeleine Lundberg and Casper Manne Wallin in 2016.</t>
        </r>
        <r>
          <rPr>
            <sz val="10"/>
            <color indexed="8"/>
            <rFont val="Arial"/>
            <family val="2"/>
          </rPr>
          <t xml:space="preserve">
</t>
        </r>
      </text>
    </comment>
    <comment ref="N96" authorId="0">
      <text>
        <r>
          <rPr>
            <b/>
            <sz val="10"/>
            <color indexed="8"/>
            <rFont val="Tahoma"/>
            <family val="2"/>
          </rPr>
          <t>Microsoft Office User:</t>
        </r>
        <r>
          <rPr>
            <sz val="10"/>
            <color indexed="8"/>
            <rFont val="Tahoma"/>
            <family val="2"/>
          </rPr>
          <t xml:space="preserve">
</t>
        </r>
        <r>
          <rPr>
            <sz val="10"/>
            <color indexed="8"/>
            <rFont val="Tahoma"/>
            <family val="2"/>
          </rPr>
          <t>Information from product.</t>
        </r>
      </text>
    </comment>
    <comment ref="I31" authorId="0">
      <text>
        <r>
          <rPr>
            <b/>
            <sz val="10"/>
            <color indexed="8"/>
            <rFont val="Tahoma"/>
            <family val="2"/>
          </rPr>
          <t>Microsoft Office User:</t>
        </r>
        <r>
          <rPr>
            <sz val="10"/>
            <color indexed="8"/>
            <rFont val="Tahoma"/>
            <family val="2"/>
          </rPr>
          <t xml:space="preserve">
</t>
        </r>
        <r>
          <rPr>
            <sz val="10"/>
            <color indexed="8"/>
            <rFont val="Tahoma"/>
            <family val="2"/>
          </rPr>
          <t>Average price of ten different inflatable boats with an average weight of 50kg.</t>
        </r>
      </text>
    </comment>
    <comment ref="P57" authorId="0">
      <text>
        <r>
          <rPr>
            <b/>
            <sz val="10"/>
            <color indexed="8"/>
            <rFont val="Tahoma"/>
            <family val="2"/>
          </rPr>
          <t>Microsoft Office User:</t>
        </r>
        <r>
          <rPr>
            <sz val="10"/>
            <color indexed="8"/>
            <rFont val="Tahoma"/>
            <family val="2"/>
          </rPr>
          <t xml:space="preserve">
</t>
        </r>
        <r>
          <rPr>
            <sz val="10"/>
            <color indexed="8"/>
            <rFont val="Tahoma"/>
            <family val="2"/>
          </rPr>
          <t>Weighed at home, may 2019.</t>
        </r>
      </text>
    </comment>
    <comment ref="I43" authorId="0">
      <text>
        <r>
          <rPr>
            <b/>
            <sz val="10"/>
            <color indexed="8"/>
            <rFont val="Tahoma"/>
            <family val="2"/>
          </rPr>
          <t>Microsoft Office User:</t>
        </r>
        <r>
          <rPr>
            <sz val="10"/>
            <color indexed="8"/>
            <rFont val="Tahoma"/>
            <family val="2"/>
          </rPr>
          <t xml:space="preserve">
</t>
        </r>
        <r>
          <rPr>
            <sz val="10"/>
            <color indexed="8"/>
            <rFont val="Tahoma"/>
            <family val="2"/>
          </rPr>
          <t>Prices collected at 4sound, may 2019.</t>
        </r>
      </text>
    </comment>
    <comment ref="K43" authorId="0">
      <text>
        <r>
          <rPr>
            <b/>
            <sz val="10"/>
            <color indexed="8"/>
            <rFont val="Tahoma"/>
            <family val="2"/>
          </rPr>
          <t>Microsoft Office User:</t>
        </r>
        <r>
          <rPr>
            <sz val="10"/>
            <color indexed="8"/>
            <rFont val="Tahoma"/>
            <family val="2"/>
          </rPr>
          <t xml:space="preserve">
</t>
        </r>
        <r>
          <rPr>
            <sz val="10"/>
            <color indexed="8"/>
            <rFont val="Tahoma"/>
            <family val="2"/>
          </rPr>
          <t>Weighed in store, may 2019.</t>
        </r>
      </text>
    </comment>
    <comment ref="M43" authorId="0">
      <text>
        <r>
          <rPr>
            <b/>
            <sz val="10"/>
            <color indexed="8"/>
            <rFont val="Tahoma"/>
            <family val="2"/>
          </rPr>
          <t>Microsoft Office User:</t>
        </r>
        <r>
          <rPr>
            <sz val="10"/>
            <color indexed="8"/>
            <rFont val="Tahoma"/>
            <family val="2"/>
          </rPr>
          <t xml:space="preserve">
</t>
        </r>
        <r>
          <rPr>
            <sz val="10"/>
            <color indexed="8"/>
            <rFont val="Tahoma"/>
            <family val="2"/>
          </rPr>
          <t>Weighed in store, may 2019.</t>
        </r>
      </text>
    </comment>
    <comment ref="N43" authorId="0">
      <text>
        <r>
          <rPr>
            <b/>
            <sz val="10"/>
            <color indexed="8"/>
            <rFont val="Tahoma"/>
            <family val="2"/>
          </rPr>
          <t>Microsoft Office User:</t>
        </r>
        <r>
          <rPr>
            <sz val="10"/>
            <color indexed="8"/>
            <rFont val="Tahoma"/>
            <family val="2"/>
          </rPr>
          <t xml:space="preserve">
</t>
        </r>
        <r>
          <rPr>
            <sz val="10"/>
            <color indexed="8"/>
            <rFont val="Tahoma"/>
            <family val="2"/>
          </rPr>
          <t>Information from packaging, may 2019.</t>
        </r>
      </text>
    </comment>
    <comment ref="P43" authorId="0">
      <text>
        <r>
          <rPr>
            <b/>
            <sz val="10"/>
            <color indexed="8"/>
            <rFont val="Tahoma"/>
            <family val="2"/>
          </rPr>
          <t>Microsoft Office User:</t>
        </r>
        <r>
          <rPr>
            <sz val="10"/>
            <color indexed="8"/>
            <rFont val="Tahoma"/>
            <family val="2"/>
          </rPr>
          <t xml:space="preserve">
</t>
        </r>
        <r>
          <rPr>
            <sz val="10"/>
            <color indexed="8"/>
            <rFont val="Tahoma"/>
            <family val="2"/>
          </rPr>
          <t>Weighed in store, may 2019.</t>
        </r>
      </text>
    </comment>
    <comment ref="I94" authorId="0">
      <text>
        <r>
          <rPr>
            <b/>
            <sz val="10"/>
            <color indexed="8"/>
            <rFont val="Tahoma"/>
            <family val="2"/>
          </rPr>
          <t>Microsoft Office User:</t>
        </r>
        <r>
          <rPr>
            <sz val="10"/>
            <color indexed="8"/>
            <rFont val="Tahoma"/>
            <family val="2"/>
          </rPr>
          <t xml:space="preserve">
</t>
        </r>
        <r>
          <rPr>
            <sz val="10"/>
            <color indexed="8"/>
            <rFont val="Tahoma"/>
            <family val="2"/>
          </rPr>
          <t>Average price of the ten most popular paperback books sold by Akademibokhandeln, may 2019.</t>
        </r>
      </text>
    </comment>
    <comment ref="M5" authorId="0">
      <text>
        <r>
          <rPr>
            <b/>
            <sz val="10"/>
            <color indexed="8"/>
            <rFont val="Tahoma"/>
            <family val="2"/>
          </rPr>
          <t>Microsoft Office User:</t>
        </r>
        <r>
          <rPr>
            <sz val="10"/>
            <color indexed="8"/>
            <rFont val="Tahoma"/>
            <family val="2"/>
          </rPr>
          <t xml:space="preserve">
</t>
        </r>
        <r>
          <rPr>
            <sz val="10"/>
            <color indexed="8"/>
            <rFont val="Arial"/>
            <family val="2"/>
          </rPr>
          <t xml:space="preserve">Information aquired by dissasembling a typical clock radio.
</t>
        </r>
      </text>
    </comment>
    <comment ref="N48"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21"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18"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6" authorId="0">
      <text>
        <r>
          <rPr>
            <b/>
            <sz val="10"/>
            <color indexed="8"/>
            <rFont val="Tahoma"/>
            <family val="2"/>
          </rPr>
          <t>Microsoft Office User:</t>
        </r>
        <r>
          <rPr>
            <sz val="10"/>
            <color indexed="8"/>
            <rFont val="Tahoma"/>
            <family val="2"/>
          </rPr>
          <t xml:space="preserve">
</t>
        </r>
        <r>
          <rPr>
            <sz val="10"/>
            <color indexed="8"/>
            <rFont val="Arial"/>
            <family val="2"/>
          </rPr>
          <t>Origin country/countries for the majority of imports in 2016 by tons of units. Data collected from, and available at, SCB.se.</t>
        </r>
        <r>
          <rPr>
            <sz val="10"/>
            <color indexed="8"/>
            <rFont val="Arial"/>
            <family val="2"/>
          </rPr>
          <t xml:space="preserve">
</t>
        </r>
      </text>
    </comment>
    <comment ref="N94" authorId="0">
      <text>
        <r>
          <rPr>
            <b/>
            <sz val="10"/>
            <color indexed="8"/>
            <rFont val="Tahoma"/>
            <family val="2"/>
          </rPr>
          <t>Microsoft Office User:</t>
        </r>
        <r>
          <rPr>
            <sz val="10"/>
            <color indexed="8"/>
            <rFont val="Tahoma"/>
            <family val="2"/>
          </rPr>
          <t xml:space="preserve">
</t>
        </r>
        <r>
          <rPr>
            <sz val="10"/>
            <color indexed="8"/>
            <rFont val="Tahoma"/>
            <family val="2"/>
          </rPr>
          <t>Information from product.</t>
        </r>
      </text>
    </comment>
    <comment ref="I96" authorId="0">
      <text>
        <r>
          <rPr>
            <b/>
            <sz val="10"/>
            <color indexed="8"/>
            <rFont val="Tahoma"/>
            <family val="2"/>
          </rPr>
          <t>Microsoft Office User:</t>
        </r>
        <r>
          <rPr>
            <sz val="10"/>
            <color indexed="8"/>
            <rFont val="Tahoma"/>
            <family val="2"/>
          </rPr>
          <t xml:space="preserve">
</t>
        </r>
        <r>
          <rPr>
            <sz val="10"/>
            <color indexed="8"/>
            <rFont val="Tahoma"/>
            <family val="2"/>
          </rPr>
          <t>Recommended price on the product.</t>
        </r>
      </text>
    </comment>
    <comment ref="J72" authorId="1">
      <text>
        <r>
          <rPr>
            <b/>
            <sz val="9"/>
            <rFont val="Tahoma"/>
            <family val="2"/>
          </rPr>
          <t>Annika Carlsson-Kanyama:</t>
        </r>
        <r>
          <rPr>
            <sz val="9"/>
            <rFont val="Tahoma"/>
            <family val="2"/>
          </rPr>
          <t xml:space="preserve">
Average of 6 and 25 %. For cinemas the VAT is 25% and for theatres, concerts etc. it is 6%.</t>
        </r>
      </text>
    </comment>
    <comment ref="A1" authorId="1">
      <text>
        <r>
          <rPr>
            <b/>
            <sz val="9"/>
            <color indexed="8"/>
            <rFont val="Tahoma"/>
            <family val="2"/>
          </rPr>
          <t>Annika Carlsson-Kanyama This information about household expenditures has been inserted to identify products with high expenditures. Green rows are where an analyses are made.</t>
        </r>
      </text>
    </comment>
  </commentList>
</comments>
</file>

<file path=xl/sharedStrings.xml><?xml version="1.0" encoding="utf-8"?>
<sst xmlns="http://schemas.openxmlformats.org/spreadsheetml/2006/main" count="5622" uniqueCount="3029">
  <si>
    <t>Andra rotknölar och varor från rotknölar</t>
  </si>
  <si>
    <t>Friterad potatis ej chips</t>
  </si>
  <si>
    <t>Potatischips</t>
  </si>
  <si>
    <t>Potatismos, rotmos etc</t>
  </si>
  <si>
    <t>Potatismjöl</t>
  </si>
  <si>
    <t>Beredningar av potatis</t>
  </si>
  <si>
    <t>Socker, sylt, honung, choklad och konfektyr</t>
  </si>
  <si>
    <t>Socker</t>
  </si>
  <si>
    <t>Sylter och marmelader</t>
  </si>
  <si>
    <t>Choklad</t>
  </si>
  <si>
    <t>Godis</t>
  </si>
  <si>
    <t>Glass</t>
  </si>
  <si>
    <t>Andra sockerprodukter</t>
  </si>
  <si>
    <t>Livsmedel ej tidigare nämnda</t>
  </si>
  <si>
    <t>Såser och smaksättningsmedel</t>
  </si>
  <si>
    <t>Salt, kryddor och kryddväxter</t>
  </si>
  <si>
    <t>Jäst, dessertberedningar och soppor</t>
  </si>
  <si>
    <t>Jäst, bakpulver etc</t>
  </si>
  <si>
    <t>Dessertberedningar (ej av choklad, se 01186)</t>
  </si>
  <si>
    <t>Soppor, buljonger</t>
  </si>
  <si>
    <t xml:space="preserve">Soppor </t>
  </si>
  <si>
    <t>Buljong</t>
  </si>
  <si>
    <t>Barnmat dessert</t>
  </si>
  <si>
    <t>Övriga livsmedel, ej tidigare nämnda</t>
  </si>
  <si>
    <t>Snacks</t>
  </si>
  <si>
    <t xml:space="preserve">Askorbinsyra </t>
  </si>
  <si>
    <t>Gelatin</t>
  </si>
  <si>
    <t>Karamellfärg</t>
  </si>
  <si>
    <t>Alkoholfria drycker</t>
  </si>
  <si>
    <t>Kaffe, te och choklad</t>
  </si>
  <si>
    <t xml:space="preserve">Kaffe </t>
  </si>
  <si>
    <t>Te</t>
  </si>
  <si>
    <t>Kakao och chokladpulver</t>
  </si>
  <si>
    <t>Mineralvatten, läskedrycker, frukt- och grönsaksjuicer</t>
  </si>
  <si>
    <t>Bordsvatten</t>
  </si>
  <si>
    <t>Läskedrycker och saft</t>
  </si>
  <si>
    <t>Fruktjuicer, nektar</t>
  </si>
  <si>
    <t>Grönsaksjuicer</t>
  </si>
  <si>
    <t>ALKOHOLHALTIGA DRYCKER, TOBAK OCH NARKOTIKA</t>
  </si>
  <si>
    <t>Alkoholhaltiga drycker</t>
  </si>
  <si>
    <t xml:space="preserve">Spritdrycker  </t>
  </si>
  <si>
    <t>Spritdrycker och likörer</t>
  </si>
  <si>
    <t>Spritdrycker och likörer 1,2 - 15 %</t>
  </si>
  <si>
    <t>Spritdrycker och likörer 15 - 22 %</t>
  </si>
  <si>
    <t>Spritdrycker och likörer &gt; 22 %</t>
  </si>
  <si>
    <t>Vin</t>
  </si>
  <si>
    <t>Vin från vindruvor eller annan frukt</t>
  </si>
  <si>
    <t>Alkoholfritt vin, 0 - 2,25 %</t>
  </si>
  <si>
    <t>Cider mm 2,25 - 7 %</t>
  </si>
  <si>
    <t>Lättvin 7 - 15 %</t>
  </si>
  <si>
    <t>Starkvin, 15 - 22 %</t>
  </si>
  <si>
    <t>Öl</t>
  </si>
  <si>
    <t>Lättöl och folköl 0 - 2,8 %</t>
  </si>
  <si>
    <t>Mellanöl, starköl &gt; 2,8 %</t>
  </si>
  <si>
    <t>Ölsats</t>
  </si>
  <si>
    <t>Tobak</t>
  </si>
  <si>
    <t>Cigaretter</t>
  </si>
  <si>
    <t>Cigarrer</t>
  </si>
  <si>
    <t>Annan tobak</t>
  </si>
  <si>
    <t>Piptobak</t>
  </si>
  <si>
    <t>Tuggtobak</t>
  </si>
  <si>
    <t>Snus</t>
  </si>
  <si>
    <t>Cigariller</t>
  </si>
  <si>
    <t>KLÄDER OCH SKODON</t>
  </si>
  <si>
    <t>Kläder</t>
  </si>
  <si>
    <t>Material för klädesplagg</t>
  </si>
  <si>
    <t xml:space="preserve">Ekipering                                                      </t>
  </si>
  <si>
    <t>Herrkläder</t>
  </si>
  <si>
    <t>Tygkläder herr</t>
  </si>
  <si>
    <t>Kappor av tyg herr</t>
  </si>
  <si>
    <t>Överrockar av tyg herr</t>
  </si>
  <si>
    <t>Dräkter av tyg herr</t>
  </si>
  <si>
    <t>Klänningar av tyg herr</t>
  </si>
  <si>
    <t>Kavajer av tyg herr</t>
  </si>
  <si>
    <t>Kostymer av tyg herr</t>
  </si>
  <si>
    <t>Kjolar av tyg herr</t>
  </si>
  <si>
    <t>Övriga byxor av tyg herr</t>
  </si>
  <si>
    <t>Jackor av tyg herr</t>
  </si>
  <si>
    <t>Idrotts-och badkläder av tyg herr</t>
  </si>
  <si>
    <t>Morgonrockar, nattkläder av tyg herr</t>
  </si>
  <si>
    <t>Blusar av tyg herr</t>
  </si>
  <si>
    <t>Skjortor av tyg herr</t>
  </si>
  <si>
    <t>Tröjor, jumprar, t-shirts av tyg herr</t>
  </si>
  <si>
    <t>Underkläder, strumpor av tyg herr</t>
  </si>
  <si>
    <t>Jeans av tyg herr</t>
  </si>
  <si>
    <t>Kläder ospec av päls eller skinn herr</t>
  </si>
  <si>
    <t>Kappor av päls eller skinn herr</t>
  </si>
  <si>
    <t>Överrockar av päls eller skinn herr</t>
  </si>
  <si>
    <t>Dräkter av päls eller skinn herr</t>
  </si>
  <si>
    <t>Klänningar av päls eller skinn herr</t>
  </si>
  <si>
    <t>Kavajer av päls eller skinn herr</t>
  </si>
  <si>
    <t>Kostymer av päls eller skinn herr</t>
  </si>
  <si>
    <t>Kjolar av päls eller skinn herr</t>
  </si>
  <si>
    <t>Byxor av päls eller skinn herr</t>
  </si>
  <si>
    <t>Jackor av päls eller skinn herr</t>
  </si>
  <si>
    <t>Blusar av päls eller skinn herr</t>
  </si>
  <si>
    <t>Skjortor av päls eller skinn herr</t>
  </si>
  <si>
    <t>Underkläder, strumpor av päls eller skinn herr</t>
  </si>
  <si>
    <t>Regnkläder herr</t>
  </si>
  <si>
    <t>Damkläder</t>
  </si>
  <si>
    <t>Tygkläder dam</t>
  </si>
  <si>
    <t>Kappor av tyg dam</t>
  </si>
  <si>
    <t>Överrockar av tyg dam</t>
  </si>
  <si>
    <t>Tröjor, jumprar, t-shirts av tyg dam</t>
  </si>
  <si>
    <t>Underkläder, strumpor av tyg dam</t>
  </si>
  <si>
    <t>Jeans av tyg dam</t>
  </si>
  <si>
    <t>Päls- och skinnkläder dam</t>
  </si>
  <si>
    <t>Kappor av päls eller skinn dam</t>
  </si>
  <si>
    <t>Överrockar av päls eller skinn dam</t>
  </si>
  <si>
    <t>Dräkter av päls eller skinn dam</t>
  </si>
  <si>
    <t>Klänningar av päls eller skinn dam</t>
  </si>
  <si>
    <t>Kavajer av päls eller skinn dam</t>
  </si>
  <si>
    <t>Kostymer av päls eller skinn dam</t>
  </si>
  <si>
    <t>Kjolar av päls eller skinn dam</t>
  </si>
  <si>
    <t>Byxor av päls eller skinn dam</t>
  </si>
  <si>
    <t>Jackor av päls eller skinn dam</t>
  </si>
  <si>
    <t>Blusar av päls eller skinn dam</t>
  </si>
  <si>
    <t>Skjortor av päls eller skinn dam</t>
  </si>
  <si>
    <t>Underkläder, strumpor av päls eller skinn dam</t>
  </si>
  <si>
    <t>Regnkläder dam</t>
  </si>
  <si>
    <t>Kläder för barn 0-2 år, kläder för barn 3-13 år</t>
  </si>
  <si>
    <t>Tygkläder barn</t>
  </si>
  <si>
    <t>Kappor av tyg barn</t>
  </si>
  <si>
    <t>Överrockar av tyg barn</t>
  </si>
  <si>
    <t>Dräkter av tyg barn</t>
  </si>
  <si>
    <t>Klänningar av tyg barn</t>
  </si>
  <si>
    <t>Kavajer av tyg barn</t>
  </si>
  <si>
    <t>Kostymer av tyg barn</t>
  </si>
  <si>
    <t>Kjolar av tyg barn</t>
  </si>
  <si>
    <t>Övriga byxor av tyg barn</t>
  </si>
  <si>
    <t>Jackor av tyg barn</t>
  </si>
  <si>
    <t>Idrotts-och badkläder av tyg barn</t>
  </si>
  <si>
    <t>Morgonrockar, nattkläder av tyg barn</t>
  </si>
  <si>
    <t>Tröjor, jumprar, t-shirts av tyg barn</t>
  </si>
  <si>
    <t>Underkläder, strumpor av tyg barn</t>
  </si>
  <si>
    <t>Jeans av tyg barn</t>
  </si>
  <si>
    <t>Baby/barnkläder barn</t>
  </si>
  <si>
    <t>Kläder av päls eller skinn barn</t>
  </si>
  <si>
    <t>Kappor av päls eller skinn barn</t>
  </si>
  <si>
    <t>Överrockar av päls eller skinn barn</t>
  </si>
  <si>
    <t>Dräkter av päls eller skinn barn</t>
  </si>
  <si>
    <t>Klänningar av päls eller skinn barn</t>
  </si>
  <si>
    <t>Kavajer av päls eller skinn barn</t>
  </si>
  <si>
    <t>Kostymer av päls eller skinn barn</t>
  </si>
  <si>
    <t>Kjolar av päls eller skinn barn</t>
  </si>
  <si>
    <t>Byxor av päls eller skinn barn</t>
  </si>
  <si>
    <t>Jackor av päls eller skinn barn</t>
  </si>
  <si>
    <t>Blusar av päls eller skinn barn</t>
  </si>
  <si>
    <t>Skjortor av päls eller skinn barn</t>
  </si>
  <si>
    <t>Underkläder, strumpor av päls eller skinn barn</t>
  </si>
  <si>
    <t>Regnkläder barn</t>
  </si>
  <si>
    <t>Kläder övriga</t>
  </si>
  <si>
    <t>Kappor övriga</t>
  </si>
  <si>
    <t>Överrockar övriga</t>
  </si>
  <si>
    <t>Dräkter övriga</t>
  </si>
  <si>
    <t>Klänningar övriga</t>
  </si>
  <si>
    <t>Kavajer övriga</t>
  </si>
  <si>
    <t>Kostymer övriga</t>
  </si>
  <si>
    <t>Kjolar övriga</t>
  </si>
  <si>
    <t>Byxor övriga</t>
  </si>
  <si>
    <t>Jackor övriga</t>
  </si>
  <si>
    <t>Idrotts-och badkläder övriga</t>
  </si>
  <si>
    <t>Morgonrockar, nattkläder övriga</t>
  </si>
  <si>
    <t>Blusar övriga</t>
  </si>
  <si>
    <t>Skjortor övriga</t>
  </si>
  <si>
    <t>Tröjor, jumprar, t-shirts övriga</t>
  </si>
  <si>
    <t>Underkläder, strumpor övriga</t>
  </si>
  <si>
    <t>Jeans övriga</t>
  </si>
  <si>
    <t>Regnkläder övriga</t>
  </si>
  <si>
    <t>Övriga klädesplagg och tillbehör till klädesplagg</t>
  </si>
  <si>
    <t>Tyg</t>
  </si>
  <si>
    <t>Hanskar, vantar - ej skinn/gummi</t>
  </si>
  <si>
    <t>Skärp, livrem  - ej skinn</t>
  </si>
  <si>
    <t>Hattar, mössor, kepsar</t>
  </si>
  <si>
    <t>Accessoarer, halsdukar</t>
  </si>
  <si>
    <t>Skinn</t>
  </si>
  <si>
    <t>Hanskar, vantar - skinn</t>
  </si>
  <si>
    <t>Skärp, livrem  - skinn</t>
  </si>
  <si>
    <t>Stål, blixtlås, knappar till kläder</t>
  </si>
  <si>
    <t>Garn</t>
  </si>
  <si>
    <t>Band, spets</t>
  </si>
  <si>
    <t>Läderstövlar barn</t>
  </si>
  <si>
    <t>Lågskor (mocka, läder, tyg) barn</t>
  </si>
  <si>
    <t>Sandaler, tofflor barn</t>
  </si>
  <si>
    <t>Allväderstövlar, gummistövlar barn</t>
  </si>
  <si>
    <t>Delar av skodon, tex sulor barn</t>
  </si>
  <si>
    <t>Ospec skor</t>
  </si>
  <si>
    <t xml:space="preserve">Pjäxor, kängor  ej endast avsedda för en viss sport  Ospec </t>
  </si>
  <si>
    <t xml:space="preserve">Läderstövlar  Ospec </t>
  </si>
  <si>
    <t xml:space="preserve">Lågskor (mocka, läder, tyg)  Ospec </t>
  </si>
  <si>
    <t xml:space="preserve">Sandaler, tofflor  Ospec </t>
  </si>
  <si>
    <t xml:space="preserve">Allväderstövlar, gummistövlar  Ospec </t>
  </si>
  <si>
    <t xml:space="preserve">Delar av skodon, tex sulor  Ospec </t>
  </si>
  <si>
    <t>Lagning och uthyrning av skodon</t>
  </si>
  <si>
    <t>I,K</t>
  </si>
  <si>
    <t>BOSTÄDER, VATTEN, ELEKTRICITET, GAS OCH ANDRA BRÄNSLEN</t>
  </si>
  <si>
    <t xml:space="preserve">I </t>
  </si>
  <si>
    <t>Faktiskt betalda hyror för bostäder</t>
  </si>
  <si>
    <t>I</t>
  </si>
  <si>
    <t>Faktiskt betalda hyror från hyresgäster</t>
  </si>
  <si>
    <t>Faktiskt betalda hyror från hyresgäster (inkl garage)</t>
  </si>
  <si>
    <t>Faktiskt betald hyra (och avgift för borätt)</t>
  </si>
  <si>
    <t>Faktiskt betald garageplats (och garageplats för borätt)</t>
  </si>
  <si>
    <t>Övriga faktiskt betalda hyror för bostäder</t>
  </si>
  <si>
    <t>R</t>
  </si>
  <si>
    <t>Tomträttsavgäld, eget småhus</t>
  </si>
  <si>
    <t>Underhåll och reparationer av bostaden</t>
  </si>
  <si>
    <t>Material för underhåll och reparationer av bostaden</t>
  </si>
  <si>
    <t>Tjänster för underhåll och reparationer av bostaden</t>
  </si>
  <si>
    <t>Vattenförsörjning och diverse andra tjänster förknippade med bostaden</t>
  </si>
  <si>
    <t>Vattenförsörjning</t>
  </si>
  <si>
    <t>Sophämtning</t>
  </si>
  <si>
    <t>Avloppsrensning</t>
  </si>
  <si>
    <t>Andra tjänster förknippade med bostaden, ej tidigare nämnda</t>
  </si>
  <si>
    <t>Elektricitet, gas och andra bränslen</t>
  </si>
  <si>
    <t xml:space="preserve">Elektricitet </t>
  </si>
  <si>
    <t>Gas</t>
  </si>
  <si>
    <t>Stadsgas och naturgas</t>
  </si>
  <si>
    <t>Flytande kolväten (butan, propan m.m)</t>
  </si>
  <si>
    <t>Flytande bränslen</t>
  </si>
  <si>
    <t>Fasta bränslen</t>
  </si>
  <si>
    <t>Värmeenergi</t>
  </si>
  <si>
    <t>INVENTARIER, HUSHÅLLSUTRUSTNING OCH RUTINUNDERHÅLL AV BOSTADEN</t>
  </si>
  <si>
    <t>Möbler och inventarier, mattor och andra golvbeläggningar</t>
  </si>
  <si>
    <t xml:space="preserve">Möbler och inventarier </t>
  </si>
  <si>
    <t>Soffa</t>
  </si>
  <si>
    <t>Fåtölj</t>
  </si>
  <si>
    <t>Stolar, pallar, sittdynor</t>
  </si>
  <si>
    <t>Stol</t>
  </si>
  <si>
    <t>Pall, sittdyna</t>
  </si>
  <si>
    <t>Bord</t>
  </si>
  <si>
    <t>Säng</t>
  </si>
  <si>
    <t>Hylla</t>
  </si>
  <si>
    <t>Förvaringsmöbler</t>
  </si>
  <si>
    <t>Trädgårdsmöbel</t>
  </si>
  <si>
    <t>Lampa</t>
  </si>
  <si>
    <t>Tavla</t>
  </si>
  <si>
    <t>Persienn</t>
  </si>
  <si>
    <t>Prydnadssaker, blomkrukor, inredningsartiklar, ej konstglas/keramik</t>
  </si>
  <si>
    <t>Spegel</t>
  </si>
  <si>
    <t>Dörr, vikdörr, sjutdörr</t>
  </si>
  <si>
    <t>Artiklar av glas och kristall samt porslin och bestick</t>
  </si>
  <si>
    <t>Bestick</t>
  </si>
  <si>
    <t>Glas</t>
  </si>
  <si>
    <t>Koppar, muggar</t>
  </si>
  <si>
    <t>Uppläggningsfat, skålar, vaser, porslin</t>
  </si>
  <si>
    <t>Bestick, tallrikar, fat och silverbestick</t>
  </si>
  <si>
    <t>Silverbestick</t>
  </si>
  <si>
    <t>Tallrik</t>
  </si>
  <si>
    <t>Köksutensilier/matlagningsredskap och hushållsartiklar</t>
  </si>
  <si>
    <t>Lagning av glas, porslin och bestick samt övrigt husgeråd</t>
  </si>
  <si>
    <t>Glas, porslin och bestick samt övriga husgeråd</t>
  </si>
  <si>
    <t>Verktyg och redskap för hus och trädgård</t>
  </si>
  <si>
    <t>Större verktyg och redskap</t>
  </si>
  <si>
    <t>Större verktyg och redskap - trädgårds</t>
  </si>
  <si>
    <t>Större verktyg ej trädgårdsredskap</t>
  </si>
  <si>
    <t>Små verktyg och diverse tillbehör</t>
  </si>
  <si>
    <t>Varor och tjänster för rutinmässigt underhåll</t>
  </si>
  <si>
    <t>Icke varaktiga hushållsvaror</t>
  </si>
  <si>
    <t>Rengörings- och underhållsprodukter (ej personlig rengöring)</t>
  </si>
  <si>
    <t>Andra icke varaktiga hushållsartiklar</t>
  </si>
  <si>
    <t>Påsar, folie, bakplåtspapper, formar, hushållspapper etc</t>
  </si>
  <si>
    <t>Artiklar för rengöring - ej personlig rengöring</t>
  </si>
  <si>
    <t>Övriga icke varaktiga hushållsartiklar</t>
  </si>
  <si>
    <t>Hushållstjänster och tjänster för skötsel av hemmet</t>
  </si>
  <si>
    <t>Hushållstjänster</t>
  </si>
  <si>
    <t>Tjänster för skötsel av hemmet</t>
  </si>
  <si>
    <t>Hyra möbler</t>
  </si>
  <si>
    <t>Omklädsel möbler</t>
  </si>
  <si>
    <t>slamsugning</t>
  </si>
  <si>
    <t>HÄLSOVÅRD</t>
  </si>
  <si>
    <t>Medicinska produkter och utrustning</t>
  </si>
  <si>
    <t>Farmaceutiska produkter</t>
  </si>
  <si>
    <t>Farmaceutiska produkter ej hälsokost</t>
  </si>
  <si>
    <t>Andra medicinska produkter</t>
  </si>
  <si>
    <t>Medicinsk apparatur och utrustning</t>
  </si>
  <si>
    <t>Glasögon</t>
  </si>
  <si>
    <t>Linser och tillbehör</t>
  </si>
  <si>
    <t>Öppen sjukvård</t>
  </si>
  <si>
    <t>Läkarvård</t>
  </si>
  <si>
    <t>Tandvård</t>
  </si>
  <si>
    <t>Paramedicinska tjänster</t>
  </si>
  <si>
    <t>Passagerartransport med järnväg</t>
  </si>
  <si>
    <t>Tunnelbana</t>
  </si>
  <si>
    <t>Tågbiljett</t>
  </si>
  <si>
    <t>Månads/årskort tåg</t>
  </si>
  <si>
    <t>Passagerartransport på landsväg</t>
  </si>
  <si>
    <t xml:space="preserve">Månads/årskort buss </t>
  </si>
  <si>
    <t>Bussbiljett</t>
  </si>
  <si>
    <t>Taxi, färdtjänst</t>
  </si>
  <si>
    <t>Skattepliktiga förmåner</t>
  </si>
  <si>
    <t>Fastighetsskatt, fritidshus</t>
  </si>
  <si>
    <t>Fastighetsskatt, egna hem</t>
  </si>
  <si>
    <t>sjuktransport från sjukhus</t>
  </si>
  <si>
    <t>Passagerartransport med flyg</t>
  </si>
  <si>
    <t>Flygbiljett inrikes</t>
  </si>
  <si>
    <t>Månads/årskort flyg</t>
  </si>
  <si>
    <t>Passagerartransport på hav och inre vattenvägar</t>
  </si>
  <si>
    <t xml:space="preserve">K </t>
  </si>
  <si>
    <t>Båtresa, färjeresa</t>
  </si>
  <si>
    <t>Månads/årskort båt</t>
  </si>
  <si>
    <t>Kombinerad passagerartransport</t>
  </si>
  <si>
    <t>Kombinerad resa</t>
  </si>
  <si>
    <t>Kombinerat årskort</t>
  </si>
  <si>
    <t>Andra transporttjänster som tillhandahålls mot betalning</t>
  </si>
  <si>
    <t>Frakt</t>
  </si>
  <si>
    <t xml:space="preserve">Bilräddning                                             </t>
  </si>
  <si>
    <t>KOMMUNIKATIONER</t>
  </si>
  <si>
    <t>Posttjänster</t>
  </si>
  <si>
    <t>Telefon- och telefaxutrustning</t>
  </si>
  <si>
    <t>Telefon- och telefaxtjänster</t>
  </si>
  <si>
    <t>Abonnemang och samtalskostnad</t>
  </si>
  <si>
    <t>Abonnemang och samtalskostnad fast telefon</t>
  </si>
  <si>
    <t>Abonnemang och samtalskostnad mobiltelefon</t>
  </si>
  <si>
    <t>Internetabonnemang</t>
  </si>
  <si>
    <t>Internetcafe</t>
  </si>
  <si>
    <t>Telefonkort, mobil</t>
  </si>
  <si>
    <t>Övriga telefon- och telefaxtjänster</t>
  </si>
  <si>
    <t>REKREATION OCH KULTUR</t>
  </si>
  <si>
    <t>Spel, leksaker och hobbyer</t>
  </si>
  <si>
    <t>TV-spel/playstation/dataspel</t>
  </si>
  <si>
    <t>Leksaker och hobby</t>
  </si>
  <si>
    <t>Utrustning för idrott, camping och friluftsliv</t>
  </si>
  <si>
    <t>Skor som är särkilt avsedda för en viss sport</t>
  </si>
  <si>
    <t xml:space="preserve">Skyddsutrustning som är särskillt avsedd för en  viss </t>
  </si>
  <si>
    <t>K,I</t>
  </si>
  <si>
    <t>Övrig utrustning för sport, ej fiske</t>
  </si>
  <si>
    <t>Fiskeredskap</t>
  </si>
  <si>
    <t>Övrig utrustning för camping och friluftsliv</t>
  </si>
  <si>
    <t>Grill</t>
  </si>
  <si>
    <t>Grillkol etc</t>
  </si>
  <si>
    <t>Husdjur och husdjursprodukter</t>
  </si>
  <si>
    <t xml:space="preserve">Husdjur  </t>
  </si>
  <si>
    <t>Husdjurstillbehör</t>
  </si>
  <si>
    <t>Veterinärtjänster och andra tjänster som rör husdjur</t>
  </si>
  <si>
    <t>Hundvakt, kattvakt etc</t>
  </si>
  <si>
    <t>Veterinär - husdjur</t>
  </si>
  <si>
    <t>Rekreationstjänster och kulturella tjänster</t>
  </si>
  <si>
    <t>Tjänster som rör rekreation och idrott</t>
  </si>
  <si>
    <t>Avgift för idrottsevenemang mm</t>
  </si>
  <si>
    <t>Avgift för idrottsutövande</t>
  </si>
  <si>
    <t>Avgift för utövande av musik och teckning mm</t>
  </si>
  <si>
    <t>Avgift för tivoli, nöjesfält, marknad etc</t>
  </si>
  <si>
    <t>Kulturella tjänster</t>
  </si>
  <si>
    <t>Bio, teater och konserter</t>
  </si>
  <si>
    <t xml:space="preserve">Bio </t>
  </si>
  <si>
    <t>Opera, revy, teater, musikal</t>
  </si>
  <si>
    <t>Inträde konsert</t>
  </si>
  <si>
    <t>Cirkus</t>
  </si>
  <si>
    <t>Mässa</t>
  </si>
  <si>
    <t>Inträde ospec</t>
  </si>
  <si>
    <t>Museer, zoologiska trädgårdar och liknande</t>
  </si>
  <si>
    <t>Djurpark</t>
  </si>
  <si>
    <t>Inträde museum</t>
  </si>
  <si>
    <t>Zoologisk trädgård</t>
  </si>
  <si>
    <t>Bibliotek</t>
  </si>
  <si>
    <t>Licensavgifter för TV och radio samt hyra av utrustning</t>
  </si>
  <si>
    <t>TVavg</t>
  </si>
  <si>
    <t>Kabeltv, satelittv</t>
  </si>
  <si>
    <t>Jordnötssmör</t>
  </si>
  <si>
    <t>Olivolja</t>
  </si>
  <si>
    <t>Olja (ej olivolja), majonnäs</t>
  </si>
  <si>
    <t>Andra ätliga animaliska fetter</t>
  </si>
  <si>
    <t>Frukt</t>
  </si>
  <si>
    <t>Citrusfrukter (färska, kylda eller frysta)</t>
  </si>
  <si>
    <t>Bananer (färska, kylda eller frysta)</t>
  </si>
  <si>
    <t>Äpplen (färska, kylda eller frysta)</t>
  </si>
  <si>
    <t>Päron (färska, kylda eller frysta)</t>
  </si>
  <si>
    <t>Stenfrukter (färska, kylda eller frysta)</t>
  </si>
  <si>
    <t>Bär (färska, kylda eller frysta)</t>
  </si>
  <si>
    <t>Bär, ej vindruvor</t>
  </si>
  <si>
    <t>Druvor</t>
  </si>
  <si>
    <t>Annan färsk frukt (färska, kylda eller frysta)</t>
  </si>
  <si>
    <t>Torkad frukt, frön och nötter</t>
  </si>
  <si>
    <t>Torkad frukt</t>
  </si>
  <si>
    <t>Frön och nötter</t>
  </si>
  <si>
    <t>Konserverad frukt och fruktbaserade produkter</t>
  </si>
  <si>
    <t>Grönsaker</t>
  </si>
  <si>
    <t>Blad- och stamgrönsaker (färska, kylda eller frysta)</t>
  </si>
  <si>
    <t>Kål (Färsk eller kyld)</t>
  </si>
  <si>
    <t>Reseffekter och andra väskor och etuier</t>
  </si>
  <si>
    <t>Övriga personliga tillbehörigheter</t>
  </si>
  <si>
    <t>Solfjäder</t>
  </si>
  <si>
    <t>Solglasögon</t>
  </si>
  <si>
    <t>Babyartiklar</t>
  </si>
  <si>
    <t>Tändare</t>
  </si>
  <si>
    <t>Fickkniv</t>
  </si>
  <si>
    <t>Samlarbilder</t>
  </si>
  <si>
    <t>Majblomma</t>
  </si>
  <si>
    <t>Nyckelring</t>
  </si>
  <si>
    <t>Paraply</t>
  </si>
  <si>
    <t>Reflex</t>
  </si>
  <si>
    <t>Påskägg</t>
  </si>
  <si>
    <t>Simmärke, scoutmärke etc</t>
  </si>
  <si>
    <t>Smyckeskrin</t>
  </si>
  <si>
    <t>Sparbössa</t>
  </si>
  <si>
    <t>Studentdjur</t>
  </si>
  <si>
    <t>Värmedyna</t>
  </si>
  <si>
    <t>Social trygghet</t>
  </si>
  <si>
    <t>Privat hemtjänst/hemhjälp</t>
  </si>
  <si>
    <t>Kommunal hemtjänst/hemhjälp</t>
  </si>
  <si>
    <t>Tolk</t>
  </si>
  <si>
    <t>Dagvård</t>
  </si>
  <si>
    <t>Daghem och lekskolor</t>
  </si>
  <si>
    <t>Privat barnomsorg</t>
  </si>
  <si>
    <t>Kommunal barnomsorg</t>
  </si>
  <si>
    <t>Privat barntillsyn/barnvakt</t>
  </si>
  <si>
    <t>Korttidshem</t>
  </si>
  <si>
    <t>Kyrkans förskola</t>
  </si>
  <si>
    <t>Kooperativ barnomsorg</t>
  </si>
  <si>
    <t>Lekpark</t>
  </si>
  <si>
    <t>Montessori</t>
  </si>
  <si>
    <t>Försäkringar</t>
  </si>
  <si>
    <t>-</t>
  </si>
  <si>
    <t>Livförsäkringar - ej tillämpligt för HBS</t>
  </si>
  <si>
    <t>Försäkringar i samband med bostaden</t>
  </si>
  <si>
    <t>121310402</t>
  </si>
  <si>
    <t>121310403</t>
  </si>
  <si>
    <t>K</t>
  </si>
  <si>
    <t>011120401</t>
  </si>
  <si>
    <t>011120402</t>
  </si>
  <si>
    <t>011120403</t>
  </si>
  <si>
    <t>011450101</t>
  </si>
  <si>
    <t>011450102</t>
  </si>
  <si>
    <t>011460101</t>
  </si>
  <si>
    <t>011460102</t>
  </si>
  <si>
    <t>011460103</t>
  </si>
  <si>
    <t>011930301</t>
  </si>
  <si>
    <t>011930302</t>
  </si>
  <si>
    <t>031210101</t>
  </si>
  <si>
    <t>031210102</t>
  </si>
  <si>
    <t>031210103</t>
  </si>
  <si>
    <t>031210104</t>
  </si>
  <si>
    <t>031210105</t>
  </si>
  <si>
    <t>031210106</t>
  </si>
  <si>
    <t>031210107</t>
  </si>
  <si>
    <t>031210108</t>
  </si>
  <si>
    <t>031210109</t>
  </si>
  <si>
    <t>031210110</t>
  </si>
  <si>
    <t>031210111</t>
  </si>
  <si>
    <t>031210112</t>
  </si>
  <si>
    <t>031210113</t>
  </si>
  <si>
    <t>031210114</t>
  </si>
  <si>
    <t>031210115</t>
  </si>
  <si>
    <t>031210116</t>
  </si>
  <si>
    <t>031210201</t>
  </si>
  <si>
    <t>031210202</t>
  </si>
  <si>
    <t>031210203</t>
  </si>
  <si>
    <t>031210204</t>
  </si>
  <si>
    <t>031210205</t>
  </si>
  <si>
    <t>031210206</t>
  </si>
  <si>
    <t>031210207</t>
  </si>
  <si>
    <t>031210208</t>
  </si>
  <si>
    <t>031210209</t>
  </si>
  <si>
    <t>031210210</t>
  </si>
  <si>
    <t>031210211</t>
  </si>
  <si>
    <t>031210212</t>
  </si>
  <si>
    <t>031220101</t>
  </si>
  <si>
    <t>031220102</t>
  </si>
  <si>
    <t>031220103</t>
  </si>
  <si>
    <t>031220104</t>
  </si>
  <si>
    <t>031220105</t>
  </si>
  <si>
    <t>031220106</t>
  </si>
  <si>
    <t>031220107</t>
  </si>
  <si>
    <t>031220108</t>
  </si>
  <si>
    <t>031220109</t>
  </si>
  <si>
    <t>031220110</t>
  </si>
  <si>
    <t>031220111</t>
  </si>
  <si>
    <t>031220112</t>
  </si>
  <si>
    <t>031220113</t>
  </si>
  <si>
    <t>031220114</t>
  </si>
  <si>
    <t>031220115</t>
  </si>
  <si>
    <t>031220116</t>
  </si>
  <si>
    <t>031220201</t>
  </si>
  <si>
    <t>031220202</t>
  </si>
  <si>
    <t>031220203</t>
  </si>
  <si>
    <t>031220204</t>
  </si>
  <si>
    <t>031220205</t>
  </si>
  <si>
    <t>031220206</t>
  </si>
  <si>
    <t>031220207</t>
  </si>
  <si>
    <t>031220208</t>
  </si>
  <si>
    <t>031220209</t>
  </si>
  <si>
    <t>031220210</t>
  </si>
  <si>
    <t>031220211</t>
  </si>
  <si>
    <t>031220212</t>
  </si>
  <si>
    <t>031230101</t>
  </si>
  <si>
    <t>031230102</t>
  </si>
  <si>
    <t>031230103</t>
  </si>
  <si>
    <t>031230104</t>
  </si>
  <si>
    <t>031230105</t>
  </si>
  <si>
    <t>031230106</t>
  </si>
  <si>
    <t>031230107</t>
  </si>
  <si>
    <t>031230108</t>
  </si>
  <si>
    <t>031230109</t>
  </si>
  <si>
    <t>031230110</t>
  </si>
  <si>
    <t>031230111</t>
  </si>
  <si>
    <t>031230114</t>
  </si>
  <si>
    <t>031230115</t>
  </si>
  <si>
    <t>031230116</t>
  </si>
  <si>
    <t>031230117</t>
  </si>
  <si>
    <t>031230201</t>
  </si>
  <si>
    <t>031230202</t>
  </si>
  <si>
    <t>031230203</t>
  </si>
  <si>
    <t>031230204</t>
  </si>
  <si>
    <t>031230205</t>
  </si>
  <si>
    <t>031230206</t>
  </si>
  <si>
    <t>031230207</t>
  </si>
  <si>
    <t>031230208</t>
  </si>
  <si>
    <t>031230209</t>
  </si>
  <si>
    <t>031230210</t>
  </si>
  <si>
    <t>031230211</t>
  </si>
  <si>
    <t>031230212</t>
  </si>
  <si>
    <t>031290101</t>
  </si>
  <si>
    <t>031290102</t>
  </si>
  <si>
    <t>031290103</t>
  </si>
  <si>
    <t>031290104</t>
  </si>
  <si>
    <t>031290105</t>
  </si>
  <si>
    <t>031290106</t>
  </si>
  <si>
    <t>031290107</t>
  </si>
  <si>
    <t>031290108</t>
  </si>
  <si>
    <t>031290109</t>
  </si>
  <si>
    <t>031290110</t>
  </si>
  <si>
    <t>031290111</t>
  </si>
  <si>
    <t>031290112</t>
  </si>
  <si>
    <t>031290113</t>
  </si>
  <si>
    <t>031290114</t>
  </si>
  <si>
    <t>031290115</t>
  </si>
  <si>
    <t>031290116</t>
  </si>
  <si>
    <t>031310101</t>
  </si>
  <si>
    <t>031310102</t>
  </si>
  <si>
    <t>031310103</t>
  </si>
  <si>
    <t>031310104</t>
  </si>
  <si>
    <t>031310201</t>
  </si>
  <si>
    <t>031310202</t>
  </si>
  <si>
    <t>051110301</t>
  </si>
  <si>
    <t>051110302</t>
  </si>
  <si>
    <t>01</t>
  </si>
  <si>
    <t>011</t>
  </si>
  <si>
    <t>0111</t>
  </si>
  <si>
    <t>01111</t>
  </si>
  <si>
    <t>0111101</t>
  </si>
  <si>
    <t>0111102</t>
  </si>
  <si>
    <t>01112</t>
  </si>
  <si>
    <t>0111201</t>
  </si>
  <si>
    <t>0111202</t>
  </si>
  <si>
    <t>0111203</t>
  </si>
  <si>
    <t>0111204</t>
  </si>
  <si>
    <t>01113</t>
  </si>
  <si>
    <t>0111301</t>
  </si>
  <si>
    <t>0111302</t>
  </si>
  <si>
    <t>01114</t>
  </si>
  <si>
    <t>0111401</t>
  </si>
  <si>
    <t>0111402</t>
  </si>
  <si>
    <t>0111403</t>
  </si>
  <si>
    <t>0111404</t>
  </si>
  <si>
    <t>0111405</t>
  </si>
  <si>
    <t>0111406</t>
  </si>
  <si>
    <t>0111407</t>
  </si>
  <si>
    <t>0111408</t>
  </si>
  <si>
    <t>0111409</t>
  </si>
  <si>
    <t>01115</t>
  </si>
  <si>
    <t>0111501</t>
  </si>
  <si>
    <t>0111502</t>
  </si>
  <si>
    <t>0111503</t>
  </si>
  <si>
    <t>0111504</t>
  </si>
  <si>
    <t>0111505</t>
  </si>
  <si>
    <t>0112</t>
  </si>
  <si>
    <t xml:space="preserve">01121 </t>
  </si>
  <si>
    <t xml:space="preserve">01122 </t>
  </si>
  <si>
    <t xml:space="preserve">01123 </t>
  </si>
  <si>
    <t xml:space="preserve">01124 </t>
  </si>
  <si>
    <t>01125</t>
  </si>
  <si>
    <t>0112501</t>
  </si>
  <si>
    <t>0112502</t>
  </si>
  <si>
    <t>0112503</t>
  </si>
  <si>
    <t>0112504</t>
  </si>
  <si>
    <t>0112505</t>
  </si>
  <si>
    <t>0112506</t>
  </si>
  <si>
    <t>0112507</t>
  </si>
  <si>
    <t>0112508</t>
  </si>
  <si>
    <t>01126</t>
  </si>
  <si>
    <t>0112601</t>
  </si>
  <si>
    <t>0112602</t>
  </si>
  <si>
    <t>01127</t>
  </si>
  <si>
    <t>0113</t>
  </si>
  <si>
    <t>01131</t>
  </si>
  <si>
    <t>0113101</t>
  </si>
  <si>
    <t>0113102</t>
  </si>
  <si>
    <t>0113103</t>
  </si>
  <si>
    <t>0113104</t>
  </si>
  <si>
    <t>0113105</t>
  </si>
  <si>
    <t>01132</t>
  </si>
  <si>
    <t>01133</t>
  </si>
  <si>
    <t>01134</t>
  </si>
  <si>
    <t>0113401</t>
  </si>
  <si>
    <t>0113402</t>
  </si>
  <si>
    <t>0113403</t>
  </si>
  <si>
    <t>0113404</t>
  </si>
  <si>
    <t>0113405</t>
  </si>
  <si>
    <t>0113406</t>
  </si>
  <si>
    <t>0114</t>
  </si>
  <si>
    <t>01141</t>
  </si>
  <si>
    <t>01142</t>
  </si>
  <si>
    <t>01143</t>
  </si>
  <si>
    <t>0114401</t>
  </si>
  <si>
    <t>0114402</t>
  </si>
  <si>
    <t>01145</t>
  </si>
  <si>
    <t>0114501</t>
  </si>
  <si>
    <t>0114502</t>
  </si>
  <si>
    <t>0114503</t>
  </si>
  <si>
    <t>0114504</t>
  </si>
  <si>
    <t>0114505</t>
  </si>
  <si>
    <t>01146</t>
  </si>
  <si>
    <t>0114601</t>
  </si>
  <si>
    <t>0114602</t>
  </si>
  <si>
    <t>0114603</t>
  </si>
  <si>
    <t>01147</t>
  </si>
  <si>
    <t>0114701</t>
  </si>
  <si>
    <t>0114702</t>
  </si>
  <si>
    <t>0114703</t>
  </si>
  <si>
    <t xml:space="preserve">0115 </t>
  </si>
  <si>
    <t>01151</t>
  </si>
  <si>
    <t>0115101</t>
  </si>
  <si>
    <t>0115102</t>
  </si>
  <si>
    <t>0115103</t>
  </si>
  <si>
    <t xml:space="preserve">01152 </t>
  </si>
  <si>
    <t>0115201</t>
  </si>
  <si>
    <t>0115202</t>
  </si>
  <si>
    <t>0115203</t>
  </si>
  <si>
    <t>0115204</t>
  </si>
  <si>
    <t>0115205</t>
  </si>
  <si>
    <t>0115206</t>
  </si>
  <si>
    <t>01153</t>
  </si>
  <si>
    <t>01154</t>
  </si>
  <si>
    <t>01155</t>
  </si>
  <si>
    <t>0116</t>
  </si>
  <si>
    <t xml:space="preserve">01161 </t>
  </si>
  <si>
    <t xml:space="preserve">01162 </t>
  </si>
  <si>
    <t xml:space="preserve">01163 </t>
  </si>
  <si>
    <t xml:space="preserve">01164 </t>
  </si>
  <si>
    <t xml:space="preserve">01165 </t>
  </si>
  <si>
    <t xml:space="preserve">01166 </t>
  </si>
  <si>
    <t>0116601</t>
  </si>
  <si>
    <t>0116602</t>
  </si>
  <si>
    <t xml:space="preserve">01167 </t>
  </si>
  <si>
    <t xml:space="preserve">01168 </t>
  </si>
  <si>
    <t>0116801</t>
  </si>
  <si>
    <t>0116802</t>
  </si>
  <si>
    <t xml:space="preserve">01169 </t>
  </si>
  <si>
    <t>0117</t>
  </si>
  <si>
    <t xml:space="preserve">01171 </t>
  </si>
  <si>
    <t xml:space="preserve">01172 </t>
  </si>
  <si>
    <t xml:space="preserve">01173 </t>
  </si>
  <si>
    <t>0117401</t>
  </si>
  <si>
    <t>0117402</t>
  </si>
  <si>
    <t>0117403</t>
  </si>
  <si>
    <t xml:space="preserve">01175 </t>
  </si>
  <si>
    <t xml:space="preserve">01176 </t>
  </si>
  <si>
    <t>0117601</t>
  </si>
  <si>
    <t>0117602</t>
  </si>
  <si>
    <t>01177</t>
  </si>
  <si>
    <t>0117801</t>
  </si>
  <si>
    <t>0117802</t>
  </si>
  <si>
    <t>0117803</t>
  </si>
  <si>
    <t>0117804</t>
  </si>
  <si>
    <t>0117805</t>
  </si>
  <si>
    <t>0117806</t>
  </si>
  <si>
    <t>0118</t>
  </si>
  <si>
    <t xml:space="preserve">01181 </t>
  </si>
  <si>
    <t xml:space="preserve">01182 </t>
  </si>
  <si>
    <t xml:space="preserve">01183 </t>
  </si>
  <si>
    <t xml:space="preserve">01184 </t>
  </si>
  <si>
    <t xml:space="preserve">01185 </t>
  </si>
  <si>
    <t xml:space="preserve">01186 </t>
  </si>
  <si>
    <t xml:space="preserve">0119 </t>
  </si>
  <si>
    <t xml:space="preserve">01191 </t>
  </si>
  <si>
    <t xml:space="preserve">01192 </t>
  </si>
  <si>
    <t>01193</t>
  </si>
  <si>
    <t>0119301</t>
  </si>
  <si>
    <t>0119302</t>
  </si>
  <si>
    <t>0119303</t>
  </si>
  <si>
    <t>0119304</t>
  </si>
  <si>
    <t>01194</t>
  </si>
  <si>
    <t>0119401</t>
  </si>
  <si>
    <t>0119402</t>
  </si>
  <si>
    <t>0119403</t>
  </si>
  <si>
    <t>0119404</t>
  </si>
  <si>
    <t xml:space="preserve">012 </t>
  </si>
  <si>
    <t>0121</t>
  </si>
  <si>
    <t xml:space="preserve">01211 </t>
  </si>
  <si>
    <t xml:space="preserve">01212 </t>
  </si>
  <si>
    <t xml:space="preserve">01213 </t>
  </si>
  <si>
    <t xml:space="preserve">0122 </t>
  </si>
  <si>
    <t xml:space="preserve">01221 </t>
  </si>
  <si>
    <t xml:space="preserve">01222 </t>
  </si>
  <si>
    <t xml:space="preserve">01223 </t>
  </si>
  <si>
    <t xml:space="preserve">01224 </t>
  </si>
  <si>
    <t xml:space="preserve">02 </t>
  </si>
  <si>
    <t>021</t>
  </si>
  <si>
    <t>0211</t>
  </si>
  <si>
    <t xml:space="preserve">02111 </t>
  </si>
  <si>
    <t>0211101</t>
  </si>
  <si>
    <t>0211102</t>
  </si>
  <si>
    <t>0211103</t>
  </si>
  <si>
    <t>0212</t>
  </si>
  <si>
    <t>02121</t>
  </si>
  <si>
    <t>0212101</t>
  </si>
  <si>
    <t>0212102</t>
  </si>
  <si>
    <t>0212103</t>
  </si>
  <si>
    <t>02122</t>
  </si>
  <si>
    <t>0213</t>
  </si>
  <si>
    <t>0213101</t>
  </si>
  <si>
    <t>0213102</t>
  </si>
  <si>
    <t>0213103</t>
  </si>
  <si>
    <t>022</t>
  </si>
  <si>
    <t>0221</t>
  </si>
  <si>
    <t xml:space="preserve">02211 </t>
  </si>
  <si>
    <t xml:space="preserve">02212 </t>
  </si>
  <si>
    <t>02213</t>
  </si>
  <si>
    <t>0221301</t>
  </si>
  <si>
    <t>0221302</t>
  </si>
  <si>
    <t>0221303</t>
  </si>
  <si>
    <t>0221304</t>
  </si>
  <si>
    <t xml:space="preserve">03 </t>
  </si>
  <si>
    <t xml:space="preserve">031 </t>
  </si>
  <si>
    <t>0311</t>
  </si>
  <si>
    <t>0312</t>
  </si>
  <si>
    <t>03121</t>
  </si>
  <si>
    <t>0312101</t>
  </si>
  <si>
    <t>0312102</t>
  </si>
  <si>
    <t>0312103</t>
  </si>
  <si>
    <t>03122</t>
  </si>
  <si>
    <t>0312201</t>
  </si>
  <si>
    <t>0312202</t>
  </si>
  <si>
    <t>0312203</t>
  </si>
  <si>
    <t>03123</t>
  </si>
  <si>
    <t>0312301</t>
  </si>
  <si>
    <t>0312302</t>
  </si>
  <si>
    <t>0312303</t>
  </si>
  <si>
    <t>0312901</t>
  </si>
  <si>
    <t>0312903</t>
  </si>
  <si>
    <t>0313</t>
  </si>
  <si>
    <t>0313101</t>
  </si>
  <si>
    <t>0313102</t>
  </si>
  <si>
    <t>0313103</t>
  </si>
  <si>
    <t>0313104</t>
  </si>
  <si>
    <t>0313105</t>
  </si>
  <si>
    <t>0314</t>
  </si>
  <si>
    <t>0314101</t>
  </si>
  <si>
    <t>0314102</t>
  </si>
  <si>
    <t>0314103</t>
  </si>
  <si>
    <t>032</t>
  </si>
  <si>
    <t>0321</t>
  </si>
  <si>
    <t>03211</t>
  </si>
  <si>
    <t>0321101</t>
  </si>
  <si>
    <t>0321102</t>
  </si>
  <si>
    <t>0321103</t>
  </si>
  <si>
    <t>0321104</t>
  </si>
  <si>
    <t>0321105</t>
  </si>
  <si>
    <t>0321106</t>
  </si>
  <si>
    <t xml:space="preserve">03212 </t>
  </si>
  <si>
    <t>0321201</t>
  </si>
  <si>
    <t>0321202</t>
  </si>
  <si>
    <t>0321203</t>
  </si>
  <si>
    <t>0321205</t>
  </si>
  <si>
    <t>0321206</t>
  </si>
  <si>
    <t>03213</t>
  </si>
  <si>
    <t>0321301</t>
  </si>
  <si>
    <t>0321302</t>
  </si>
  <si>
    <t>0321303</t>
  </si>
  <si>
    <t>0321304</t>
  </si>
  <si>
    <t>0321305</t>
  </si>
  <si>
    <t>0321306</t>
  </si>
  <si>
    <t>03219</t>
  </si>
  <si>
    <t>0321901</t>
  </si>
  <si>
    <t>0321902</t>
  </si>
  <si>
    <t>0321903</t>
  </si>
  <si>
    <t>0321904</t>
  </si>
  <si>
    <t>0321905</t>
  </si>
  <si>
    <t>0321906</t>
  </si>
  <si>
    <t xml:space="preserve">0322 </t>
  </si>
  <si>
    <t xml:space="preserve">04 </t>
  </si>
  <si>
    <t xml:space="preserve">041 </t>
  </si>
  <si>
    <t xml:space="preserve">0411 </t>
  </si>
  <si>
    <t>04111</t>
  </si>
  <si>
    <t>0411101</t>
  </si>
  <si>
    <t>0411102</t>
  </si>
  <si>
    <t xml:space="preserve">0412 </t>
  </si>
  <si>
    <t xml:space="preserve">04121 </t>
  </si>
  <si>
    <t>0412101</t>
  </si>
  <si>
    <t>043</t>
  </si>
  <si>
    <t xml:space="preserve">0431 </t>
  </si>
  <si>
    <t>0432</t>
  </si>
  <si>
    <t>044</t>
  </si>
  <si>
    <t>0441</t>
  </si>
  <si>
    <t>0442</t>
  </si>
  <si>
    <t>0443</t>
  </si>
  <si>
    <t xml:space="preserve">0444 </t>
  </si>
  <si>
    <t xml:space="preserve">045 </t>
  </si>
  <si>
    <t xml:space="preserve">0451 </t>
  </si>
  <si>
    <t xml:space="preserve">0452 </t>
  </si>
  <si>
    <t xml:space="preserve">04521 </t>
  </si>
  <si>
    <t>04522</t>
  </si>
  <si>
    <t xml:space="preserve">0453 </t>
  </si>
  <si>
    <t xml:space="preserve">0454 </t>
  </si>
  <si>
    <t>0455</t>
  </si>
  <si>
    <t xml:space="preserve">05 </t>
  </si>
  <si>
    <t xml:space="preserve">051 </t>
  </si>
  <si>
    <t xml:space="preserve">0511 </t>
  </si>
  <si>
    <t>0511101</t>
  </si>
  <si>
    <t>0511102</t>
  </si>
  <si>
    <t>0511103</t>
  </si>
  <si>
    <t>0511104</t>
  </si>
  <si>
    <t>0511105</t>
  </si>
  <si>
    <t>0511106</t>
  </si>
  <si>
    <t>0511107</t>
  </si>
  <si>
    <t>0511108</t>
  </si>
  <si>
    <t>0511109</t>
  </si>
  <si>
    <t>0511110</t>
  </si>
  <si>
    <t>0511111</t>
  </si>
  <si>
    <t>0511112</t>
  </si>
  <si>
    <t>0511113</t>
  </si>
  <si>
    <t>0511114</t>
  </si>
  <si>
    <t xml:space="preserve">0512 </t>
  </si>
  <si>
    <t>05121</t>
  </si>
  <si>
    <t xml:space="preserve">0513 </t>
  </si>
  <si>
    <t>05131</t>
  </si>
  <si>
    <t>0513101</t>
  </si>
  <si>
    <t>0513102</t>
  </si>
  <si>
    <t xml:space="preserve">052 </t>
  </si>
  <si>
    <t>0521101</t>
  </si>
  <si>
    <t>0521102</t>
  </si>
  <si>
    <t>0521103</t>
  </si>
  <si>
    <t>0521104</t>
  </si>
  <si>
    <t>0521105</t>
  </si>
  <si>
    <t>0521106</t>
  </si>
  <si>
    <t xml:space="preserve">053 </t>
  </si>
  <si>
    <t xml:space="preserve">0531 </t>
  </si>
  <si>
    <t xml:space="preserve">05311 </t>
  </si>
  <si>
    <t xml:space="preserve">05312 </t>
  </si>
  <si>
    <t>0531201</t>
  </si>
  <si>
    <t>0531202</t>
  </si>
  <si>
    <t>0531203</t>
  </si>
  <si>
    <t>0531204</t>
  </si>
  <si>
    <t>05313</t>
  </si>
  <si>
    <t>0531301</t>
  </si>
  <si>
    <t>0531302</t>
  </si>
  <si>
    <t xml:space="preserve">05314 </t>
  </si>
  <si>
    <t>0531401</t>
  </si>
  <si>
    <t>0531402</t>
  </si>
  <si>
    <t>0531403</t>
  </si>
  <si>
    <t xml:space="preserve">05315 </t>
  </si>
  <si>
    <t>0531501</t>
  </si>
  <si>
    <t>0531502</t>
  </si>
  <si>
    <t xml:space="preserve">05316 </t>
  </si>
  <si>
    <t xml:space="preserve">05317 </t>
  </si>
  <si>
    <t xml:space="preserve">0532 </t>
  </si>
  <si>
    <t>0532101</t>
  </si>
  <si>
    <t>0532102</t>
  </si>
  <si>
    <t>0532103</t>
  </si>
  <si>
    <t>0532104</t>
  </si>
  <si>
    <t>0532105</t>
  </si>
  <si>
    <t>0532106</t>
  </si>
  <si>
    <t>0532107</t>
  </si>
  <si>
    <t>0532108</t>
  </si>
  <si>
    <t>0532109</t>
  </si>
  <si>
    <t>0533</t>
  </si>
  <si>
    <t>05411</t>
  </si>
  <si>
    <t>0541101</t>
  </si>
  <si>
    <t>0541102</t>
  </si>
  <si>
    <t>0541103</t>
  </si>
  <si>
    <t>0541104</t>
  </si>
  <si>
    <t>05412</t>
  </si>
  <si>
    <t>0541201</t>
  </si>
  <si>
    <t>0541202</t>
  </si>
  <si>
    <t xml:space="preserve">05413 </t>
  </si>
  <si>
    <t xml:space="preserve">05414 </t>
  </si>
  <si>
    <t>0541</t>
  </si>
  <si>
    <t xml:space="preserve">055 </t>
  </si>
  <si>
    <t xml:space="preserve">0551 </t>
  </si>
  <si>
    <t>0551101</t>
  </si>
  <si>
    <t>0551102</t>
  </si>
  <si>
    <t xml:space="preserve">0552 </t>
  </si>
  <si>
    <t>05521</t>
  </si>
  <si>
    <t>056</t>
  </si>
  <si>
    <t xml:space="preserve">0561 </t>
  </si>
  <si>
    <t>05611</t>
  </si>
  <si>
    <t>05612</t>
  </si>
  <si>
    <t>0561201</t>
  </si>
  <si>
    <t>0561202</t>
  </si>
  <si>
    <t>0561203</t>
  </si>
  <si>
    <t>0562</t>
  </si>
  <si>
    <t>05621</t>
  </si>
  <si>
    <t>05622</t>
  </si>
  <si>
    <t>0562201</t>
  </si>
  <si>
    <t>0562202</t>
  </si>
  <si>
    <t>0562203</t>
  </si>
  <si>
    <t xml:space="preserve">061 </t>
  </si>
  <si>
    <t>0611</t>
  </si>
  <si>
    <t>0611101</t>
  </si>
  <si>
    <t>0612</t>
  </si>
  <si>
    <t>0613</t>
  </si>
  <si>
    <t>0613101</t>
  </si>
  <si>
    <t>0613102</t>
  </si>
  <si>
    <t>062</t>
  </si>
  <si>
    <t>0621</t>
  </si>
  <si>
    <t>0622</t>
  </si>
  <si>
    <t>0623</t>
  </si>
  <si>
    <t>06231</t>
  </si>
  <si>
    <t>06232</t>
  </si>
  <si>
    <t>06233</t>
  </si>
  <si>
    <t>0623301</t>
  </si>
  <si>
    <t>063</t>
  </si>
  <si>
    <t xml:space="preserve">07 </t>
  </si>
  <si>
    <t xml:space="preserve">071 </t>
  </si>
  <si>
    <t xml:space="preserve">0711 </t>
  </si>
  <si>
    <t xml:space="preserve">07111 </t>
  </si>
  <si>
    <t xml:space="preserve">07112 </t>
  </si>
  <si>
    <t>0711201</t>
  </si>
  <si>
    <t>0711202</t>
  </si>
  <si>
    <t xml:space="preserve">0712 </t>
  </si>
  <si>
    <t>0713</t>
  </si>
  <si>
    <t>0714</t>
  </si>
  <si>
    <t xml:space="preserve">072 </t>
  </si>
  <si>
    <t xml:space="preserve">0721 </t>
  </si>
  <si>
    <t>0721101</t>
  </si>
  <si>
    <t>0721102</t>
  </si>
  <si>
    <t>0721103</t>
  </si>
  <si>
    <t xml:space="preserve">0722 </t>
  </si>
  <si>
    <t>0722101</t>
  </si>
  <si>
    <t>0722102</t>
  </si>
  <si>
    <t>0722103</t>
  </si>
  <si>
    <t>0722104</t>
  </si>
  <si>
    <t xml:space="preserve">0723 </t>
  </si>
  <si>
    <t>0723101</t>
  </si>
  <si>
    <t>0723102</t>
  </si>
  <si>
    <t>0723103</t>
  </si>
  <si>
    <t xml:space="preserve">0724 </t>
  </si>
  <si>
    <t>0724101</t>
  </si>
  <si>
    <t>0724102</t>
  </si>
  <si>
    <t>0724103</t>
  </si>
  <si>
    <t>0724104</t>
  </si>
  <si>
    <t>0724105</t>
  </si>
  <si>
    <t>0724106</t>
  </si>
  <si>
    <t xml:space="preserve">073 </t>
  </si>
  <si>
    <t xml:space="preserve">0731 </t>
  </si>
  <si>
    <t>0731101</t>
  </si>
  <si>
    <t>0731102</t>
  </si>
  <si>
    <t>0731103</t>
  </si>
  <si>
    <t xml:space="preserve">0732 </t>
  </si>
  <si>
    <t>0732101</t>
  </si>
  <si>
    <t>0732102</t>
  </si>
  <si>
    <t>0732103</t>
  </si>
  <si>
    <t>073211</t>
  </si>
  <si>
    <t xml:space="preserve">0733 </t>
  </si>
  <si>
    <t>0733101</t>
  </si>
  <si>
    <t>0733102</t>
  </si>
  <si>
    <t xml:space="preserve">0734 </t>
  </si>
  <si>
    <t>0734101</t>
  </si>
  <si>
    <t>0734102</t>
  </si>
  <si>
    <t xml:space="preserve">0735 </t>
  </si>
  <si>
    <t>0735101</t>
  </si>
  <si>
    <t>0735102</t>
  </si>
  <si>
    <t xml:space="preserve">0736 </t>
  </si>
  <si>
    <t xml:space="preserve">0736101  </t>
  </si>
  <si>
    <t xml:space="preserve">0736102  </t>
  </si>
  <si>
    <t xml:space="preserve">08 </t>
  </si>
  <si>
    <t>081</t>
  </si>
  <si>
    <t>082</t>
  </si>
  <si>
    <t>083</t>
  </si>
  <si>
    <t>0831101</t>
  </si>
  <si>
    <t xml:space="preserve">0831102  </t>
  </si>
  <si>
    <t xml:space="preserve">0831103  </t>
  </si>
  <si>
    <t>09</t>
  </si>
  <si>
    <t>091</t>
  </si>
  <si>
    <t xml:space="preserve">0911 </t>
  </si>
  <si>
    <t>09112</t>
  </si>
  <si>
    <t xml:space="preserve">0911201  </t>
  </si>
  <si>
    <t xml:space="preserve">0911202  </t>
  </si>
  <si>
    <t xml:space="preserve">0911203  </t>
  </si>
  <si>
    <t xml:space="preserve">0912 </t>
  </si>
  <si>
    <t xml:space="preserve">09121 </t>
  </si>
  <si>
    <t>09122</t>
  </si>
  <si>
    <t xml:space="preserve">0912201  </t>
  </si>
  <si>
    <t>0913</t>
  </si>
  <si>
    <t xml:space="preserve">09131 </t>
  </si>
  <si>
    <t>0914</t>
  </si>
  <si>
    <t xml:space="preserve">0914101  </t>
  </si>
  <si>
    <t xml:space="preserve">0914102  </t>
  </si>
  <si>
    <t xml:space="preserve">0914103  </t>
  </si>
  <si>
    <t xml:space="preserve">0914104  </t>
  </si>
  <si>
    <t xml:space="preserve">0914105  </t>
  </si>
  <si>
    <t xml:space="preserve">0914106  </t>
  </si>
  <si>
    <t>0915</t>
  </si>
  <si>
    <t>092</t>
  </si>
  <si>
    <t xml:space="preserve">0921 </t>
  </si>
  <si>
    <t>0921101</t>
  </si>
  <si>
    <t>0921102</t>
  </si>
  <si>
    <t>0921103</t>
  </si>
  <si>
    <t xml:space="preserve">0921104  </t>
  </si>
  <si>
    <t>0921105</t>
  </si>
  <si>
    <t>0922</t>
  </si>
  <si>
    <t xml:space="preserve">09221 </t>
  </si>
  <si>
    <t xml:space="preserve">09222 </t>
  </si>
  <si>
    <t>0923</t>
  </si>
  <si>
    <t>093</t>
  </si>
  <si>
    <t xml:space="preserve">0931 </t>
  </si>
  <si>
    <t>0931101</t>
  </si>
  <si>
    <t>0931102</t>
  </si>
  <si>
    <t xml:space="preserve">0932 </t>
  </si>
  <si>
    <t>0932101</t>
  </si>
  <si>
    <t>0932102</t>
  </si>
  <si>
    <t>0932103</t>
  </si>
  <si>
    <t>0932104</t>
  </si>
  <si>
    <t>0932105</t>
  </si>
  <si>
    <t>0932106</t>
  </si>
  <si>
    <t>0932107</t>
  </si>
  <si>
    <t xml:space="preserve">0933 </t>
  </si>
  <si>
    <t>0934</t>
  </si>
  <si>
    <t>0934101</t>
  </si>
  <si>
    <t>0934102</t>
  </si>
  <si>
    <t xml:space="preserve">0935 </t>
  </si>
  <si>
    <t>0935101</t>
  </si>
  <si>
    <t>0935102</t>
  </si>
  <si>
    <t xml:space="preserve">094 </t>
  </si>
  <si>
    <t xml:space="preserve">0941 </t>
  </si>
  <si>
    <t>0941101</t>
  </si>
  <si>
    <t>0941102</t>
  </si>
  <si>
    <t>0941103</t>
  </si>
  <si>
    <t>0941104</t>
  </si>
  <si>
    <t xml:space="preserve">0942 </t>
  </si>
  <si>
    <t xml:space="preserve">09421 </t>
  </si>
  <si>
    <t>0942101</t>
  </si>
  <si>
    <t>0942102</t>
  </si>
  <si>
    <t>0942103</t>
  </si>
  <si>
    <t>0942104</t>
  </si>
  <si>
    <t>0942105</t>
  </si>
  <si>
    <t>0942106</t>
  </si>
  <si>
    <t xml:space="preserve">09422 </t>
  </si>
  <si>
    <t>0942201</t>
  </si>
  <si>
    <t>0942202</t>
  </si>
  <si>
    <t>0942203</t>
  </si>
  <si>
    <t>0942204</t>
  </si>
  <si>
    <t xml:space="preserve">09423 </t>
  </si>
  <si>
    <t>0942301</t>
  </si>
  <si>
    <t>0942302</t>
  </si>
  <si>
    <t>0942303</t>
  </si>
  <si>
    <t>0942304</t>
  </si>
  <si>
    <t>0942305</t>
  </si>
  <si>
    <t xml:space="preserve">09424 </t>
  </si>
  <si>
    <t>0942401</t>
  </si>
  <si>
    <t xml:space="preserve">0943 </t>
  </si>
  <si>
    <t xml:space="preserve">095 </t>
  </si>
  <si>
    <t xml:space="preserve">0951 </t>
  </si>
  <si>
    <t xml:space="preserve">0952 </t>
  </si>
  <si>
    <t>0952101</t>
  </si>
  <si>
    <t>0952102</t>
  </si>
  <si>
    <t xml:space="preserve">0953 </t>
  </si>
  <si>
    <t xml:space="preserve">0954 </t>
  </si>
  <si>
    <t xml:space="preserve">096 </t>
  </si>
  <si>
    <t xml:space="preserve">0966102  </t>
  </si>
  <si>
    <t>10</t>
  </si>
  <si>
    <t xml:space="preserve">101 </t>
  </si>
  <si>
    <t>102</t>
  </si>
  <si>
    <t>103</t>
  </si>
  <si>
    <t>1031101</t>
  </si>
  <si>
    <t>1031102</t>
  </si>
  <si>
    <t>104</t>
  </si>
  <si>
    <t>105</t>
  </si>
  <si>
    <t>11</t>
  </si>
  <si>
    <t>111</t>
  </si>
  <si>
    <t xml:space="preserve">1111 </t>
  </si>
  <si>
    <t>11111</t>
  </si>
  <si>
    <t>1111101</t>
  </si>
  <si>
    <t>1111102</t>
  </si>
  <si>
    <t xml:space="preserve">11112 </t>
  </si>
  <si>
    <t>1111201</t>
  </si>
  <si>
    <t>1111202</t>
  </si>
  <si>
    <t>1111203</t>
  </si>
  <si>
    <t>1112</t>
  </si>
  <si>
    <t>112</t>
  </si>
  <si>
    <t>1121101</t>
  </si>
  <si>
    <t>1121102</t>
  </si>
  <si>
    <t>1121103</t>
  </si>
  <si>
    <t>12</t>
  </si>
  <si>
    <t xml:space="preserve">121 </t>
  </si>
  <si>
    <t xml:space="preserve">1211 </t>
  </si>
  <si>
    <t>1211101</t>
  </si>
  <si>
    <t>1211102</t>
  </si>
  <si>
    <t>1211103</t>
  </si>
  <si>
    <t>1211104</t>
  </si>
  <si>
    <t>1211105</t>
  </si>
  <si>
    <t>1212</t>
  </si>
  <si>
    <t>1212101</t>
  </si>
  <si>
    <t>1212102</t>
  </si>
  <si>
    <t>1212103</t>
  </si>
  <si>
    <t>1212104</t>
  </si>
  <si>
    <t>1212105</t>
  </si>
  <si>
    <t xml:space="preserve">1213 </t>
  </si>
  <si>
    <t>1213101</t>
  </si>
  <si>
    <t>1213102</t>
  </si>
  <si>
    <t>1213103</t>
  </si>
  <si>
    <t xml:space="preserve">1213104  </t>
  </si>
  <si>
    <t>1213105</t>
  </si>
  <si>
    <t>1213106</t>
  </si>
  <si>
    <t>123</t>
  </si>
  <si>
    <t>1231</t>
  </si>
  <si>
    <t>1231101</t>
  </si>
  <si>
    <t>1231102</t>
  </si>
  <si>
    <t>12321</t>
  </si>
  <si>
    <t>1232</t>
  </si>
  <si>
    <t>1232201</t>
  </si>
  <si>
    <t>1232202</t>
  </si>
  <si>
    <t>1232203</t>
  </si>
  <si>
    <t>1232204</t>
  </si>
  <si>
    <t>1232205</t>
  </si>
  <si>
    <t>1232206</t>
  </si>
  <si>
    <t>1232207</t>
  </si>
  <si>
    <t>1232208</t>
  </si>
  <si>
    <t>1232209</t>
  </si>
  <si>
    <t>1232210</t>
  </si>
  <si>
    <t>1232211</t>
  </si>
  <si>
    <t>1232212</t>
  </si>
  <si>
    <t>1232213</t>
  </si>
  <si>
    <t>1232214</t>
  </si>
  <si>
    <t xml:space="preserve">1232215  </t>
  </si>
  <si>
    <t xml:space="preserve">1232216  </t>
  </si>
  <si>
    <t xml:space="preserve">1232217  </t>
  </si>
  <si>
    <t xml:space="preserve">124 </t>
  </si>
  <si>
    <t xml:space="preserve">1241101  </t>
  </si>
  <si>
    <t xml:space="preserve">1241102  </t>
  </si>
  <si>
    <t xml:space="preserve">1241103  </t>
  </si>
  <si>
    <t xml:space="preserve">1241104  </t>
  </si>
  <si>
    <t>12412</t>
  </si>
  <si>
    <t xml:space="preserve">1241201  </t>
  </si>
  <si>
    <t xml:space="preserve">1241202  </t>
  </si>
  <si>
    <t xml:space="preserve">1241203  </t>
  </si>
  <si>
    <t xml:space="preserve">1241204  </t>
  </si>
  <si>
    <t xml:space="preserve">1241205  </t>
  </si>
  <si>
    <t xml:space="preserve">1241206  </t>
  </si>
  <si>
    <t xml:space="preserve">1241207  </t>
  </si>
  <si>
    <t xml:space="preserve">1241208  </t>
  </si>
  <si>
    <t>125</t>
  </si>
  <si>
    <t>1251</t>
  </si>
  <si>
    <t xml:space="preserve">1252 </t>
  </si>
  <si>
    <t xml:space="preserve">12521 </t>
  </si>
  <si>
    <t xml:space="preserve">1252101  </t>
  </si>
  <si>
    <t xml:space="preserve">1252103  </t>
  </si>
  <si>
    <t xml:space="preserve">1252104  </t>
  </si>
  <si>
    <t>1253</t>
  </si>
  <si>
    <t xml:space="preserve">1253101  </t>
  </si>
  <si>
    <t xml:space="preserve">1253102  </t>
  </si>
  <si>
    <t xml:space="preserve">1253103  </t>
  </si>
  <si>
    <t>1254</t>
  </si>
  <si>
    <t xml:space="preserve">1254101  </t>
  </si>
  <si>
    <t xml:space="preserve">1254102  </t>
  </si>
  <si>
    <t xml:space="preserve">1254103  </t>
  </si>
  <si>
    <t xml:space="preserve">1254104  </t>
  </si>
  <si>
    <t xml:space="preserve">1254105  </t>
  </si>
  <si>
    <t xml:space="preserve">1254106  </t>
  </si>
  <si>
    <t xml:space="preserve">1254107  </t>
  </si>
  <si>
    <t>1255</t>
  </si>
  <si>
    <t xml:space="preserve">1255101  </t>
  </si>
  <si>
    <t xml:space="preserve">1255102  </t>
  </si>
  <si>
    <t xml:space="preserve">1255103  </t>
  </si>
  <si>
    <t xml:space="preserve">1255104  </t>
  </si>
  <si>
    <t xml:space="preserve">1255105  </t>
  </si>
  <si>
    <t xml:space="preserve">1255106  </t>
  </si>
  <si>
    <t>126</t>
  </si>
  <si>
    <t>1261</t>
  </si>
  <si>
    <t>1262</t>
  </si>
  <si>
    <t xml:space="preserve">1262101  </t>
  </si>
  <si>
    <t xml:space="preserve">1262102  </t>
  </si>
  <si>
    <t xml:space="preserve">1262103  </t>
  </si>
  <si>
    <t xml:space="preserve">1262104  </t>
  </si>
  <si>
    <t>127</t>
  </si>
  <si>
    <t xml:space="preserve">1271101  </t>
  </si>
  <si>
    <t xml:space="preserve">1271102  </t>
  </si>
  <si>
    <t xml:space="preserve">1271103  </t>
  </si>
  <si>
    <t xml:space="preserve">1271104  </t>
  </si>
  <si>
    <t xml:space="preserve">1271105  </t>
  </si>
  <si>
    <t xml:space="preserve">1271106  </t>
  </si>
  <si>
    <t xml:space="preserve">1271107  </t>
  </si>
  <si>
    <t xml:space="preserve">1271108  </t>
  </si>
  <si>
    <t xml:space="preserve">1271111  </t>
  </si>
  <si>
    <t xml:space="preserve">1271112  </t>
  </si>
  <si>
    <t xml:space="preserve">1271113  </t>
  </si>
  <si>
    <t xml:space="preserve">1271114  </t>
  </si>
  <si>
    <t xml:space="preserve">1271115  </t>
  </si>
  <si>
    <t>21</t>
  </si>
  <si>
    <t>212</t>
  </si>
  <si>
    <t>213</t>
  </si>
  <si>
    <t>22</t>
  </si>
  <si>
    <t xml:space="preserve">221 </t>
  </si>
  <si>
    <t xml:space="preserve">222 </t>
  </si>
  <si>
    <t>2221</t>
  </si>
  <si>
    <t xml:space="preserve">2222 </t>
  </si>
  <si>
    <t xml:space="preserve">223 </t>
  </si>
  <si>
    <t>224</t>
  </si>
  <si>
    <t>225</t>
  </si>
  <si>
    <t xml:space="preserve">23 </t>
  </si>
  <si>
    <t xml:space="preserve">231 </t>
  </si>
  <si>
    <t xml:space="preserve">232 </t>
  </si>
  <si>
    <t xml:space="preserve">233 </t>
  </si>
  <si>
    <t>24</t>
  </si>
  <si>
    <t>241</t>
  </si>
  <si>
    <t>242</t>
  </si>
  <si>
    <t>25</t>
  </si>
  <si>
    <t xml:space="preserve">25111 </t>
  </si>
  <si>
    <t xml:space="preserve">25112 </t>
  </si>
  <si>
    <t>253</t>
  </si>
  <si>
    <t>254</t>
  </si>
  <si>
    <t>25421</t>
  </si>
  <si>
    <t>25431</t>
  </si>
  <si>
    <t>25441</t>
  </si>
  <si>
    <t>25511</t>
  </si>
  <si>
    <t>072210101</t>
  </si>
  <si>
    <t>072210102</t>
  </si>
  <si>
    <t>072210201</t>
  </si>
  <si>
    <t>072210202</t>
  </si>
  <si>
    <t>072410101</t>
  </si>
  <si>
    <t>072410102</t>
  </si>
  <si>
    <t>072410103</t>
  </si>
  <si>
    <t>072410104</t>
  </si>
  <si>
    <t>072410105</t>
  </si>
  <si>
    <t>072410106</t>
  </si>
  <si>
    <t>083110101</t>
  </si>
  <si>
    <t>083110102</t>
  </si>
  <si>
    <t>083110103</t>
  </si>
  <si>
    <t>083110104</t>
  </si>
  <si>
    <t>LIVSMEDEL OCH ALKOHOLFRIA DRYCKER</t>
  </si>
  <si>
    <t>Livsmedel</t>
  </si>
  <si>
    <t>Bröd och övriga spannmålsprodukter</t>
  </si>
  <si>
    <t>Ris och produkter av ris</t>
  </si>
  <si>
    <t>Ris</t>
  </si>
  <si>
    <t>Risprodukter</t>
  </si>
  <si>
    <t xml:space="preserve">Matbröd  </t>
  </si>
  <si>
    <t>Hårt bröd</t>
  </si>
  <si>
    <t>Hårt tunnbröd</t>
  </si>
  <si>
    <t>Skorpor, ströbröd</t>
  </si>
  <si>
    <t>Mjukt grovt/mörkt bröd</t>
  </si>
  <si>
    <t>Mjukt ljust bröd</t>
  </si>
  <si>
    <t>Mjukt vitt bröd</t>
  </si>
  <si>
    <t>Pastaprodukter</t>
  </si>
  <si>
    <t>Pasta, nudlar</t>
  </si>
  <si>
    <t>Pastarätter</t>
  </si>
  <si>
    <t>Bakverk</t>
  </si>
  <si>
    <t>Kaffebröd vetebröd</t>
  </si>
  <si>
    <t>Mjuka kakor</t>
  </si>
  <si>
    <t>Smörgåskex</t>
  </si>
  <si>
    <t>Kakor och kex</t>
  </si>
  <si>
    <t>Bakelser , kondisbitar</t>
  </si>
  <si>
    <t>Bakmix, Kakmix</t>
  </si>
  <si>
    <t xml:space="preserve">Matmix </t>
  </si>
  <si>
    <t>Pannkakor, piroger, pizza, matpaj</t>
  </si>
  <si>
    <t>Färdiga smörgåsar</t>
  </si>
  <si>
    <t>Andra spannmålsprodukter</t>
  </si>
  <si>
    <t>Mjöl och brödmix</t>
  </si>
  <si>
    <t>Välling och gröt - ej baserat på ris</t>
  </si>
  <si>
    <t>Flingor och musli</t>
  </si>
  <si>
    <t>Couscous</t>
  </si>
  <si>
    <t>Dietprodukter</t>
  </si>
  <si>
    <t>Kött</t>
  </si>
  <si>
    <t>Färskt, kylt eller fryst kött från nötkreatur</t>
  </si>
  <si>
    <t>Färskt, kylt eller fryst kött från svin</t>
  </si>
  <si>
    <t>Färskt, kylt eller fryst kött från får och get</t>
  </si>
  <si>
    <t>Färskt, kylt eller fryst kött från fjäderfä</t>
  </si>
  <si>
    <t>Torkat, saltat eller rökt kött och ätliga slaktbiprodukter</t>
  </si>
  <si>
    <t>Torkat, saltat eller rökt kött från nötkreatur</t>
  </si>
  <si>
    <t>Torkat, saltat eller rökt kött från svin</t>
  </si>
  <si>
    <t>Torkat, saltat eller rökt kött från fjäderfä</t>
  </si>
  <si>
    <t>Torkat, saltat eller rökt kött från vilt</t>
  </si>
  <si>
    <t>Sylta</t>
  </si>
  <si>
    <t>Korv och korvpålägg</t>
  </si>
  <si>
    <t>Pastej och pate</t>
  </si>
  <si>
    <t>Charkvaror och övrigt ospec</t>
  </si>
  <si>
    <t>Annat konserverat eller bearbetat kött samt beredningar av kött</t>
  </si>
  <si>
    <t>Färdiga rätter av kött, halvfabrikat av kött - ej barnmat</t>
  </si>
  <si>
    <t>Barnmat med kött (färdigrätter, halvfabrikat)</t>
  </si>
  <si>
    <t>Annat färskt, kylt eller fryst ätligt kött</t>
  </si>
  <si>
    <t>Fisk och skaldjur</t>
  </si>
  <si>
    <t>Färsk, kyld eller fryst fisk</t>
  </si>
  <si>
    <t>Sill, strömming</t>
  </si>
  <si>
    <t>Torsk</t>
  </si>
  <si>
    <t>Lax</t>
  </si>
  <si>
    <t>Flatfisk</t>
  </si>
  <si>
    <t>Övrig färsk, kyld eller fryst fisk</t>
  </si>
  <si>
    <t>031230112</t>
  </si>
  <si>
    <t>031230113</t>
  </si>
  <si>
    <t>Dräkter av tyg dam</t>
  </si>
  <si>
    <t>Klänningar av tyg dam</t>
  </si>
  <si>
    <t>Kavajer av tyg dam</t>
  </si>
  <si>
    <t>Kostymer av tyg dam</t>
  </si>
  <si>
    <t>Kjolar av tyg dam</t>
  </si>
  <si>
    <t>Övriga byxor av tyg dam</t>
  </si>
  <si>
    <t>Jackor av tyg dam</t>
  </si>
  <si>
    <t>Idrotts-och badkläder av tyg dam</t>
  </si>
  <si>
    <t>Morgonrockar, nattkläder av tyg dam</t>
  </si>
  <si>
    <t>Blusar av tyg dam</t>
  </si>
  <si>
    <t>Skjortor av tyg dam</t>
  </si>
  <si>
    <t>Skrädderiarbeten, tvätt och uthyrning av kläder</t>
  </si>
  <si>
    <t>Lagning av kläder</t>
  </si>
  <si>
    <t>Hyra av kläder</t>
  </si>
  <si>
    <t>Tvätt av kläder</t>
  </si>
  <si>
    <t>Skodon</t>
  </si>
  <si>
    <t>Skor och andra skodon</t>
  </si>
  <si>
    <t>Herrskor</t>
  </si>
  <si>
    <t>Pjäxor, kängor  ej endast avsedda för en viss sport herr</t>
  </si>
  <si>
    <t>Läderstövlar herr</t>
  </si>
  <si>
    <t>Lågskor (mocka, läder, tyg) herr</t>
  </si>
  <si>
    <t>Sandaler, tofflor herr</t>
  </si>
  <si>
    <t>Allväderstövlar, gummistövlar herr</t>
  </si>
  <si>
    <t>Delar av skodon, tex sulor herr</t>
  </si>
  <si>
    <t>Damskor</t>
  </si>
  <si>
    <t>Kängor dam</t>
  </si>
  <si>
    <t>Läderstövlar dam</t>
  </si>
  <si>
    <t>Lågskor (mocka, läder, tyg) dam</t>
  </si>
  <si>
    <t>Allväderstövlar, gummistövlar dam</t>
  </si>
  <si>
    <t>Delar av skodon, tex sulor dam</t>
  </si>
  <si>
    <t>Skor till barn (0-13 år)</t>
  </si>
  <si>
    <t>Pjäxor, kängor  ej endast avsedda för en viss sport barn</t>
  </si>
  <si>
    <t>Mattor och andra golvbeläggningar</t>
  </si>
  <si>
    <t>Matta</t>
  </si>
  <si>
    <t>A-kassa, Försäkringskassa, Fack- och medlemsavgifter</t>
  </si>
  <si>
    <t>Reparationer av möbler och golvbeläggningar</t>
  </si>
  <si>
    <t>Rep möbler</t>
  </si>
  <si>
    <t>Reparation golvbeläggningar</t>
  </si>
  <si>
    <t>Hushållstextilen</t>
  </si>
  <si>
    <t>Påslakan, örngott, underlakan</t>
  </si>
  <si>
    <t>Täcken, kuddar, filtar, överkast</t>
  </si>
  <si>
    <t>Madrasser</t>
  </si>
  <si>
    <t>Dukar, gardiner</t>
  </si>
  <si>
    <t>Handdukar</t>
  </si>
  <si>
    <t>Övriga textiler</t>
  </si>
  <si>
    <t>Hushållsutrustning</t>
  </si>
  <si>
    <t>Större hushållsutrustning, både elektrisk och övrig</t>
  </si>
  <si>
    <t>Kylskåp, frysar och kombinerad kyl/frys</t>
  </si>
  <si>
    <t>Tvättmaskiner, frysar och kombinerad kyl/frys</t>
  </si>
  <si>
    <t>Diskmaskin</t>
  </si>
  <si>
    <t xml:space="preserve">Tvättmaskin </t>
  </si>
  <si>
    <t>Torktumlare/torkskåp</t>
  </si>
  <si>
    <t>handdukstork el</t>
  </si>
  <si>
    <t>Spisar och mikrovågsugnar</t>
  </si>
  <si>
    <t xml:space="preserve">Spis </t>
  </si>
  <si>
    <t>Mikrovågsugn</t>
  </si>
  <si>
    <t>Värmeelement och luftkonditioneringsapparater</t>
  </si>
  <si>
    <t>Fläkt</t>
  </si>
  <si>
    <t xml:space="preserve">Element  </t>
  </si>
  <si>
    <t>infravärme</t>
  </si>
  <si>
    <t>Städmaskiner</t>
  </si>
  <si>
    <t>Dammsugare</t>
  </si>
  <si>
    <t>Dammsugartillbehör - dock ej dammsugarpåsar</t>
  </si>
  <si>
    <t>Sy- och stickmaskiner</t>
  </si>
  <si>
    <t>Annan större hushållsutrustning</t>
  </si>
  <si>
    <t>Mindre elektriska hushållsapparater</t>
  </si>
  <si>
    <t>Brödrost</t>
  </si>
  <si>
    <t>Elvisp</t>
  </si>
  <si>
    <t>Kaffebryggare</t>
  </si>
  <si>
    <t>Konservöppnare el</t>
  </si>
  <si>
    <t>Våffeljärn</t>
  </si>
  <si>
    <t>Smörgåsgrill</t>
  </si>
  <si>
    <t>Vattenkokare</t>
  </si>
  <si>
    <t>Strykjärn</t>
  </si>
  <si>
    <t>Matberedare</t>
  </si>
  <si>
    <t>Reparation av hushållsapparater</t>
  </si>
  <si>
    <t>Tjänster som tillhandahålls av medicinska laboratorier och röntgenmottagningar</t>
  </si>
  <si>
    <t>Tjänster som tillhandahålls av paramedicinsk personal</t>
  </si>
  <si>
    <t>Andra tjänster som inte tillhandahålls av vårdinrättningar</t>
  </si>
  <si>
    <t>Hyra hjälpmedel</t>
  </si>
  <si>
    <t>Sjukhusvård</t>
  </si>
  <si>
    <t>TRANSPORT</t>
  </si>
  <si>
    <t>Inköp av fordon</t>
  </si>
  <si>
    <t>Inköp av bilar</t>
  </si>
  <si>
    <t>Ny bil</t>
  </si>
  <si>
    <t>Begagnad bil</t>
  </si>
  <si>
    <t>Begagnad bil (köpt privat)</t>
  </si>
  <si>
    <t>Begagnad bil (köpt av bilhandlare)</t>
  </si>
  <si>
    <t>Motorcykel, moped, skoter</t>
  </si>
  <si>
    <t>Cyklar</t>
  </si>
  <si>
    <t>Fordon som dras av djur</t>
  </si>
  <si>
    <t>Drift av persontransportmedel</t>
  </si>
  <si>
    <t>Reservdelar och tillbehör</t>
  </si>
  <si>
    <t xml:space="preserve">Bildäck </t>
  </si>
  <si>
    <t>Bildelar, biltillbehör</t>
  </si>
  <si>
    <t>Övriga tillbehör till persontransportmedel, ej bil</t>
  </si>
  <si>
    <t>Bränslen och smörjmedel</t>
  </si>
  <si>
    <t>Bensin till bil och andra bildrivna fordon och maskiner</t>
  </si>
  <si>
    <t>Bensin bil</t>
  </si>
  <si>
    <t>Bensin ej bil</t>
  </si>
  <si>
    <t>Disel till bil och andra bildrivna fordon och maskiner</t>
  </si>
  <si>
    <t>Disel bil</t>
  </si>
  <si>
    <t>Disel ej bil</t>
  </si>
  <si>
    <t>Smörjmedel, oljor,  kylvätskor och tillsatser</t>
  </si>
  <si>
    <t>Övrigt bränsle till fordon, tex metanol, el</t>
  </si>
  <si>
    <t>Underhåll och reparationer för persontransportmedel</t>
  </si>
  <si>
    <t>Reparation bil</t>
  </si>
  <si>
    <t>Reparation MC, moped, skoter</t>
  </si>
  <si>
    <t>Reparation cykel</t>
  </si>
  <si>
    <t>Andra tjänster förknippade med persontransportmedel</t>
  </si>
  <si>
    <t>Andra tjänster förknippade med persontransportmedel - bil</t>
  </si>
  <si>
    <t>Besiktning (bil), bilprovning</t>
  </si>
  <si>
    <t>Hyrbil</t>
  </si>
  <si>
    <t>Parkeringsavgift</t>
  </si>
  <si>
    <t>Självrisk bil</t>
  </si>
  <si>
    <t>Körkortsutbildning</t>
  </si>
  <si>
    <t>Broavgift</t>
  </si>
  <si>
    <t>Hyra husvagn</t>
  </si>
  <si>
    <t>Hyra släpkärra</t>
  </si>
  <si>
    <t>Besiktning, ej bil</t>
  </si>
  <si>
    <t xml:space="preserve">Hyra av cykel                                                  </t>
  </si>
  <si>
    <t xml:space="preserve">Flygplanshyra                                                  </t>
  </si>
  <si>
    <t>Transporttjänster</t>
  </si>
  <si>
    <t>Audiovisuell och fotografisk utrustning samt informationsbehandlingsutrustning</t>
  </si>
  <si>
    <t>Utrustning för mottagning, inspelning och återgivning av ljud och bild</t>
  </si>
  <si>
    <t>TV-apparater och videobandspelare</t>
  </si>
  <si>
    <t xml:space="preserve">TV </t>
  </si>
  <si>
    <t>Parabolantenn och parabolabonnemang</t>
  </si>
  <si>
    <t>Video/DVD</t>
  </si>
  <si>
    <t>Fotografisk och filmfotografisk utrustning samt optisk utrustning</t>
  </si>
  <si>
    <t xml:space="preserve">Fotografisk och filmfotografisk utrustning  </t>
  </si>
  <si>
    <t>0912102</t>
  </si>
  <si>
    <t>Kameratillbehör</t>
  </si>
  <si>
    <t>Optisk utrustning</t>
  </si>
  <si>
    <t>Kikare</t>
  </si>
  <si>
    <t>Informationsbehandlingsutrustning</t>
  </si>
  <si>
    <t>Inspelningsmedier</t>
  </si>
  <si>
    <t>CD-skiva, dvd-skiva</t>
  </si>
  <si>
    <t>LPskiva</t>
  </si>
  <si>
    <t>Kassettböcker</t>
  </si>
  <si>
    <t>Kassettband</t>
  </si>
  <si>
    <t>Videoband köpt</t>
  </si>
  <si>
    <t>Diskett</t>
  </si>
  <si>
    <t>Reparation av audiovisuell, fotografisk och informationsbehandlingsutrustning</t>
  </si>
  <si>
    <t>Övriga större varaktiga konsumtionsvaror för rekreation och kultur</t>
  </si>
  <si>
    <t>Större varaktiga konsumtionsvaror för utomhusbruk</t>
  </si>
  <si>
    <t>Husvagn/släpvagn</t>
  </si>
  <si>
    <t>I, K</t>
  </si>
  <si>
    <t>Båt/båtmotor/båttillbehör</t>
  </si>
  <si>
    <t>Båt, båtmotor</t>
  </si>
  <si>
    <t>Båttillbehör</t>
  </si>
  <si>
    <t>Båtplats, båtreparation, hamnavgift, hyrbåt</t>
  </si>
  <si>
    <t>Flygplan</t>
  </si>
  <si>
    <t>Djur och utrustning till djur - ej husdjur</t>
  </si>
  <si>
    <t>Får, höns, häst, ponny</t>
  </si>
  <si>
    <t>Tillbehör till djur - ej husdjur</t>
  </si>
  <si>
    <t>Veterinärtjänster - ej husdjur</t>
  </si>
  <si>
    <t>Större idrottsartiklar</t>
  </si>
  <si>
    <t>Musikinstrument samt större varaktiga konsumtionsvaror för inomhusbruk</t>
  </si>
  <si>
    <t>Musikinstrument</t>
  </si>
  <si>
    <t>Större varaktiga konsumtionsvaror för inomhusbruk</t>
  </si>
  <si>
    <t xml:space="preserve">Underhåll och reparation av övriga större varaktiga </t>
  </si>
  <si>
    <t xml:space="preserve">Övriga varor och utrustning för rekreation samt </t>
  </si>
  <si>
    <t>Hyra tv, video/dvd</t>
  </si>
  <si>
    <t>Hyra film</t>
  </si>
  <si>
    <t>Hyra tvspel</t>
  </si>
  <si>
    <t>Övriga tjänster</t>
  </si>
  <si>
    <t>Fototjänster</t>
  </si>
  <si>
    <t>Hasardspel</t>
  </si>
  <si>
    <t>Tidningar, böcker och skrivmaterial</t>
  </si>
  <si>
    <t>Böcker</t>
  </si>
  <si>
    <t>Tidningar och tidskrifter</t>
  </si>
  <si>
    <t>Dagstidning</t>
  </si>
  <si>
    <t>Veckotidning, månadstidning</t>
  </si>
  <si>
    <t>Diverse trycksaker</t>
  </si>
  <si>
    <t>Skriv- och ritmaterial</t>
  </si>
  <si>
    <t>Paketresor</t>
  </si>
  <si>
    <t>Skolresa</t>
  </si>
  <si>
    <t>Inrikesresa</t>
  </si>
  <si>
    <t>Utrikesresa</t>
  </si>
  <si>
    <t>Utrikesresa - del betald i Sverige</t>
  </si>
  <si>
    <t>Utrikesresa - del betald i utlandet</t>
  </si>
  <si>
    <t>UTBILDNING</t>
  </si>
  <si>
    <t>Förskole-, låg- och mellanstadieutbildning</t>
  </si>
  <si>
    <t>Högstadie- och gymnasieutbildning</t>
  </si>
  <si>
    <t>Eftergymnasial utbildning</t>
  </si>
  <si>
    <t>Kåravgift</t>
  </si>
  <si>
    <t>Högskoleprovet</t>
  </si>
  <si>
    <t>Grund- och forskarutbildning inom högre utbildning</t>
  </si>
  <si>
    <t>Ej nivåknuten utbildning</t>
  </si>
  <si>
    <t>RESTAURANGER OCH HOTELL</t>
  </si>
  <si>
    <t>Catering</t>
  </si>
  <si>
    <t>Restauranger, kaféer och liknande</t>
  </si>
  <si>
    <t xml:space="preserve">Restauranger </t>
  </si>
  <si>
    <t>Middag restaurang</t>
  </si>
  <si>
    <t>Avhämtning, hämtmat</t>
  </si>
  <si>
    <t>Kaféer, barer och liknande</t>
  </si>
  <si>
    <t>Disco, pub, dans, fest etc</t>
  </si>
  <si>
    <t>Fika, kafé, kondis</t>
  </si>
  <si>
    <t>Tivoli, kafé, bar etc (ej inträde, se 094110400)</t>
  </si>
  <si>
    <t>Serveringar</t>
  </si>
  <si>
    <t>Inkvarteringstjänster</t>
  </si>
  <si>
    <t>Hotell</t>
  </si>
  <si>
    <t>Camping</t>
  </si>
  <si>
    <t>Vandrarhem</t>
  </si>
  <si>
    <t>DIVERSE VAROR OCH TJÄNSTER</t>
  </si>
  <si>
    <t>Personlig vård</t>
  </si>
  <si>
    <t>Frisersalonger och skönhetssalonger</t>
  </si>
  <si>
    <t>Hudbehandling</t>
  </si>
  <si>
    <t>Frisör</t>
  </si>
  <si>
    <t>Solarium</t>
  </si>
  <si>
    <t>Medium</t>
  </si>
  <si>
    <t>Tatuering</t>
  </si>
  <si>
    <t>Elektriska apparater för personlig vård</t>
  </si>
  <si>
    <t>Hårtork</t>
  </si>
  <si>
    <t>Ladyshave</t>
  </si>
  <si>
    <t>Rakapparat</t>
  </si>
  <si>
    <t>Locktång, plattong</t>
  </si>
  <si>
    <t>Eltandborste</t>
  </si>
  <si>
    <t>Andra redskap, artiklar och produkter för personlig vård</t>
  </si>
  <si>
    <t>Icke-elektriska redskap för personlig vård</t>
  </si>
  <si>
    <t>Personlig hygien</t>
  </si>
  <si>
    <t>Skönhetsprodukter, kosmetika, parfym, deodorant</t>
  </si>
  <si>
    <t>Toapapper, pappersnäsdukar etc</t>
  </si>
  <si>
    <t>Pappersnäsdukar</t>
  </si>
  <si>
    <t>Bomull</t>
  </si>
  <si>
    <t>Toalettpapper</t>
  </si>
  <si>
    <t>Mensskydd</t>
  </si>
  <si>
    <t>Blöjor</t>
  </si>
  <si>
    <t>Personliga tillhörigheter, ej tidigare nämnda</t>
  </si>
  <si>
    <t>Smycken och ur</t>
  </si>
  <si>
    <t xml:space="preserve">Smycke </t>
  </si>
  <si>
    <t>Klocka</t>
  </si>
  <si>
    <t>Mjölk &gt; 1,5 %</t>
  </si>
  <si>
    <t>Mjölk &lt; 1,5 %</t>
  </si>
  <si>
    <t>Konserverad mjölk</t>
  </si>
  <si>
    <t>Yoghurt/ filmjölk sötad/med frukt</t>
  </si>
  <si>
    <t>Yoghurt/filmjölk osötad/naturell</t>
  </si>
  <si>
    <t>Ost och ostmassa</t>
  </si>
  <si>
    <t>Hårdost</t>
  </si>
  <si>
    <t>Hårdost &lt; 17 %</t>
  </si>
  <si>
    <t>Hårdost &gt; 17 %</t>
  </si>
  <si>
    <t>Kvarg</t>
  </si>
  <si>
    <t>Dessertost</t>
  </si>
  <si>
    <t>Smältost, mesost, messmör</t>
  </si>
  <si>
    <t>Ostkaka, ostpaj</t>
  </si>
  <si>
    <t>Andra mjölkprodukter</t>
  </si>
  <si>
    <t xml:space="preserve">Grädde, gräddfil, creme fraiche </t>
  </si>
  <si>
    <t>Grädde, gräddfil, creme fraiche 10 - 29 %</t>
  </si>
  <si>
    <t>Grädde, gräddfil, creme fraiche &gt; 29 %</t>
  </si>
  <si>
    <t>Grädde, gräddfil, creme fraiche 0 - 9 %</t>
  </si>
  <si>
    <t>Mjölkpulver, gräddpulver (ej efterätter, mjölkersättning)</t>
  </si>
  <si>
    <t>Mjölkbaserade efterrätter, sötade mjölkpulver (typ oboy)</t>
  </si>
  <si>
    <t xml:space="preserve">Äggprodukter </t>
  </si>
  <si>
    <t>Ägg</t>
  </si>
  <si>
    <t>Äggpulver</t>
  </si>
  <si>
    <t>Äggprodukt uteslutande av ägg</t>
  </si>
  <si>
    <t>Oljor och fetter</t>
  </si>
  <si>
    <t>Smör, aromsmör</t>
  </si>
  <si>
    <t xml:space="preserve">Smör </t>
  </si>
  <si>
    <t>Bregott mellan</t>
  </si>
  <si>
    <t>Kryddsmör</t>
  </si>
  <si>
    <t>Margarin och annat vegetabiliskt fett</t>
  </si>
  <si>
    <t>Margarin, ej flytande</t>
  </si>
  <si>
    <t>Flytande margarin</t>
  </si>
  <si>
    <t>Bordsmargarin, ej lättmargarin</t>
  </si>
  <si>
    <t>Bordsmargarin lätt</t>
  </si>
  <si>
    <t>Cocosfett</t>
  </si>
  <si>
    <t>Mjukt bröd</t>
  </si>
  <si>
    <t>Blusar av tyg barn</t>
  </si>
  <si>
    <t>Skjortor av tyg barn</t>
  </si>
  <si>
    <t>Sandaler, tofflor dam</t>
  </si>
  <si>
    <t>0321204</t>
  </si>
  <si>
    <t>Hemförsäkring borätt/hyresrätt</t>
  </si>
  <si>
    <t>Hem och villa försäkring</t>
  </si>
  <si>
    <t>Fritidshusförsäkring</t>
  </si>
  <si>
    <t>Försäkringar i samband med hälsovård</t>
  </si>
  <si>
    <t>Olycksfallsförsäkring</t>
  </si>
  <si>
    <t>Barnförsäkring</t>
  </si>
  <si>
    <t xml:space="preserve">Vuxenförsäkring                                                </t>
  </si>
  <si>
    <t>Försäkringar i samband med transporter</t>
  </si>
  <si>
    <t>Bilförsäkring</t>
  </si>
  <si>
    <t>Båtförsäkring</t>
  </si>
  <si>
    <t>MC/moped-försäkring</t>
  </si>
  <si>
    <t>Husvagnsförsäkring</t>
  </si>
  <si>
    <t>Skoterförsäkring</t>
  </si>
  <si>
    <t>Släpvagnsförsäkring</t>
  </si>
  <si>
    <t>Husbilsförsäkring</t>
  </si>
  <si>
    <t>Övriga försäkringar</t>
  </si>
  <si>
    <t>Allriskförsäkring</t>
  </si>
  <si>
    <t>Husdjursförsäkring</t>
  </si>
  <si>
    <t>Sakförsäkring</t>
  </si>
  <si>
    <t xml:space="preserve">Reseförsäkring </t>
  </si>
  <si>
    <t>Pensionsförsäkring</t>
  </si>
  <si>
    <t>Fritidsförsäkring</t>
  </si>
  <si>
    <t>Finansiella tjänster, ej tidigare nämnda</t>
  </si>
  <si>
    <t xml:space="preserve"> -</t>
  </si>
  <si>
    <t>Indirekt mätta finansiella tjänster - ej tillämpligt för HBS</t>
  </si>
  <si>
    <t>Bankavgift</t>
  </si>
  <si>
    <t>Bankfack</t>
  </si>
  <si>
    <t>Kontokort/betalkortsavg</t>
  </si>
  <si>
    <t>Postgiroavgift</t>
  </si>
  <si>
    <t>Övriga tjänster, ej tidigare nämnda</t>
  </si>
  <si>
    <t xml:space="preserve">Begravning </t>
  </si>
  <si>
    <t>Adressändring</t>
  </si>
  <si>
    <t>Advokat</t>
  </si>
  <si>
    <t>Deklarationshjälp</t>
  </si>
  <si>
    <t>Byggnadslov</t>
  </si>
  <si>
    <t>Aviseringsavgift</t>
  </si>
  <si>
    <t>ID-kortsavg</t>
  </si>
  <si>
    <t>Kronofogden</t>
  </si>
  <si>
    <t>Cateringtjänster, ej mat</t>
  </si>
  <si>
    <t>Legavgift, passavgift</t>
  </si>
  <si>
    <t xml:space="preserve">Böter </t>
  </si>
  <si>
    <t>Toalettbesök, skåpförvaring, dusch camping etc</t>
  </si>
  <si>
    <t>Annons</t>
  </si>
  <si>
    <t xml:space="preserve">Värdering av hus, antikviteter etc </t>
  </si>
  <si>
    <t>K, R</t>
  </si>
  <si>
    <t>Medlemsavgifter (ej fackförening)</t>
  </si>
  <si>
    <t>Intyg till försäkringskassan</t>
  </si>
  <si>
    <t>Ränteutgifter</t>
  </si>
  <si>
    <t>Ränteutgifter, boende</t>
  </si>
  <si>
    <t>Ränteutgifter, transport</t>
  </si>
  <si>
    <t>Ränteutgifter, billån</t>
  </si>
  <si>
    <t>Ränteutfigter, båtlån</t>
  </si>
  <si>
    <t>Ränteutgifter, csn</t>
  </si>
  <si>
    <t>Ränteutgifter, övrigt</t>
  </si>
  <si>
    <t>Ränteutgifter, fritidshus</t>
  </si>
  <si>
    <t>Fordonskatt</t>
  </si>
  <si>
    <t>Bilskatt, vägskatt</t>
  </si>
  <si>
    <t>Skatt på skoter</t>
  </si>
  <si>
    <t>Skatt på husvagn</t>
  </si>
  <si>
    <t xml:space="preserve">Gåvor </t>
  </si>
  <si>
    <t>Gåvor, privatpersoner</t>
  </si>
  <si>
    <t>Gåvor, organisationer/kollekt etc</t>
  </si>
  <si>
    <t>Fritidshus</t>
  </si>
  <si>
    <t xml:space="preserve">Hyra/arrende fritidshus </t>
  </si>
  <si>
    <t xml:space="preserve">Tomträttsavgäld, fritidshus </t>
  </si>
  <si>
    <t>Underhåll och/eller reparation på fritidshus</t>
  </si>
  <si>
    <t>Ungefärlig storlek på sammanlagda utgift för fritidshus</t>
  </si>
  <si>
    <t xml:space="preserve">Renhållning och sophämtning, fritidshus </t>
  </si>
  <si>
    <t xml:space="preserve">Vatten och avlopp, fritidshus </t>
  </si>
  <si>
    <t xml:space="preserve">Vägunderhåll och gemensamhetsanläggningar </t>
  </si>
  <si>
    <t xml:space="preserve">Värme, fritidshus </t>
  </si>
  <si>
    <t>092110201</t>
  </si>
  <si>
    <t>092110202</t>
  </si>
  <si>
    <t>092110203</t>
  </si>
  <si>
    <t>092110401</t>
  </si>
  <si>
    <t>092110402</t>
  </si>
  <si>
    <t>092110403</t>
  </si>
  <si>
    <t>Trädgård, växter och blommor</t>
  </si>
  <si>
    <t>096110101</t>
  </si>
  <si>
    <t>096110102</t>
  </si>
  <si>
    <t>096610201</t>
  </si>
  <si>
    <t>096610202</t>
  </si>
  <si>
    <t>121310401</t>
  </si>
  <si>
    <t>Avgift för sopstation</t>
  </si>
  <si>
    <t>Slaktare</t>
  </si>
  <si>
    <t>09111</t>
  </si>
  <si>
    <t>Färska, kylda eller frysta skaldjur</t>
  </si>
  <si>
    <t>Torkad, rökt eller saltad fisk och skaldjur</t>
  </si>
  <si>
    <t>Konserverad och inlagd fisk</t>
  </si>
  <si>
    <t>Konserverade och inlaggda skaldjur</t>
  </si>
  <si>
    <t>Kaviar, rom, fiskpastej</t>
  </si>
  <si>
    <t>Färdigrätter/halvfabrikat av fisk</t>
  </si>
  <si>
    <t>Barnmat (färdigrätter, halvfabrikat) av fisk</t>
  </si>
  <si>
    <t>Färdigrätter/halvfabrikat av skaldjur</t>
  </si>
  <si>
    <t>Mjölk, ost och ägg</t>
  </si>
  <si>
    <t>A-kassa och fackföreningsavgift</t>
  </si>
  <si>
    <t>06211</t>
  </si>
  <si>
    <t>Kemtvätt möbler och textilier</t>
  </si>
  <si>
    <t>0562205</t>
  </si>
  <si>
    <t>Inkomstförsäkring</t>
  </si>
  <si>
    <t>Grönsaker som odlas för fruktens skull (färska, kylda eller frysta)</t>
  </si>
  <si>
    <t>Rotfrukter, lökgrönsaker utan stärkelse samt svamp (färska, kylda eller frysta)</t>
  </si>
  <si>
    <t>Rotfrukter</t>
  </si>
  <si>
    <t>Lökgrönsaker</t>
  </si>
  <si>
    <t>Svamp</t>
  </si>
  <si>
    <t>Torkade grönsaker</t>
  </si>
  <si>
    <t>Andra konserverade eller behandlade grönsaker</t>
  </si>
  <si>
    <t>Andra konserverade eller behandlade grönsaker - ej barnmat</t>
  </si>
  <si>
    <t>Barnmat grönsaker</t>
  </si>
  <si>
    <t>Potatis</t>
  </si>
  <si>
    <t>Övriga transportmedel</t>
  </si>
  <si>
    <t>Ugn</t>
  </si>
  <si>
    <t>Spishäll</t>
  </si>
  <si>
    <t>Motorcykel</t>
  </si>
  <si>
    <t>Moped</t>
  </si>
  <si>
    <t>Skoter</t>
  </si>
  <si>
    <t>07121</t>
  </si>
  <si>
    <t>07122</t>
  </si>
  <si>
    <t>07123</t>
  </si>
  <si>
    <t>0715</t>
  </si>
  <si>
    <t>Digitalbox</t>
  </si>
  <si>
    <t>0911204</t>
  </si>
  <si>
    <t>Radio, stereo och andra mediaspelare</t>
  </si>
  <si>
    <t>091211</t>
  </si>
  <si>
    <t>091212</t>
  </si>
  <si>
    <t>Filmkamera</t>
  </si>
  <si>
    <t>Kamera</t>
  </si>
  <si>
    <t>.</t>
  </si>
  <si>
    <t>Fotopapper</t>
  </si>
  <si>
    <t>0914107</t>
  </si>
  <si>
    <t>?</t>
  </si>
  <si>
    <t>Vanligt margarin</t>
  </si>
  <si>
    <t>Nischprodukter</t>
  </si>
  <si>
    <t>IO analys</t>
  </si>
  <si>
    <t>Delar av djuret man normalt inte äter</t>
  </si>
  <si>
    <t>Insekter</t>
  </si>
  <si>
    <t>Odlade animalier</t>
  </si>
  <si>
    <t>Vegansk ost</t>
  </si>
  <si>
    <t>Utbildning i resthantering/vegatarisk matlagning</t>
  </si>
  <si>
    <t>Lokalt producerade grönsaker utomhus</t>
  </si>
  <si>
    <t>Lokalt producerade grönsaker i urbana växthus (Högdalen)</t>
  </si>
  <si>
    <t>1/O analys som nichspraktik</t>
  </si>
  <si>
    <t>Vanlig gardin</t>
  </si>
  <si>
    <t>Tvättmedel</t>
  </si>
  <si>
    <t>I/O nalyser se ovan</t>
  </si>
  <si>
    <t>I/O analyser se ovan</t>
  </si>
  <si>
    <t>VAT %</t>
  </si>
  <si>
    <t>Basic goods kg per kg product</t>
  </si>
  <si>
    <t>Origin</t>
  </si>
  <si>
    <t>Consumerprice per kg</t>
  </si>
  <si>
    <t>Specifikation of the product (s) analysed</t>
  </si>
  <si>
    <t>Packaging material and weight, kg per kg product</t>
  </si>
  <si>
    <t>Granit original portion</t>
  </si>
  <si>
    <t>Plastic</t>
  </si>
  <si>
    <t>Barilla Spaghetti 1kg</t>
  </si>
  <si>
    <t>6g</t>
  </si>
  <si>
    <t>0,006kg per kg product</t>
  </si>
  <si>
    <t>4g</t>
  </si>
  <si>
    <t>Wheat flour</t>
  </si>
  <si>
    <t>Paper</t>
  </si>
  <si>
    <t>20 g, 1 g</t>
  </si>
  <si>
    <t>Paper, plastic</t>
  </si>
  <si>
    <t>14 g</t>
  </si>
  <si>
    <t>Cream</t>
  </si>
  <si>
    <t>11g, 1g</t>
  </si>
  <si>
    <t>Lidl Svenska frukostägg, Large 6-pack</t>
  </si>
  <si>
    <t>25g</t>
  </si>
  <si>
    <t>Carton</t>
  </si>
  <si>
    <t>Carton, plastic</t>
  </si>
  <si>
    <t>34g, 1 g</t>
  </si>
  <si>
    <t>Paper, Plastic</t>
  </si>
  <si>
    <t>8g, 8g</t>
  </si>
  <si>
    <t>Barley malt</t>
  </si>
  <si>
    <t>Aluminum</t>
  </si>
  <si>
    <t>Tobacco</t>
  </si>
  <si>
    <t>Delicatoboll 6-p</t>
  </si>
  <si>
    <t>Kalles kaviar 190g</t>
  </si>
  <si>
    <t>Eggs for consumption</t>
  </si>
  <si>
    <t>Arla Greve Mild</t>
  </si>
  <si>
    <t>31g, 6g</t>
  </si>
  <si>
    <t>20g</t>
  </si>
  <si>
    <t>Lätta original 400g</t>
  </si>
  <si>
    <t>20g, 8g</t>
  </si>
  <si>
    <t>Lamb meat bone-in</t>
  </si>
  <si>
    <t>Broiler carcass</t>
  </si>
  <si>
    <t>Bacon ICA Basic</t>
  </si>
  <si>
    <t>ICA Chorizo extra het 300g</t>
  </si>
  <si>
    <t>Familjen Dafgårds kalops</t>
  </si>
  <si>
    <t>17 % beef according to the producer. Other main ingredients are potatoes, water, carrots, milk and onions. 0,17 kg of beef no bones in per kg product. One portion contains 180 grams of potato pure and 45 grams of carrots.One portion is 400 grams which make 0,45 kg potaoes pure per kg product and 0,113 kg of carrots per kg products.</t>
  </si>
  <si>
    <t>Sweden</t>
  </si>
  <si>
    <t>11g</t>
  </si>
  <si>
    <t>30g</t>
  </si>
  <si>
    <t>7g</t>
  </si>
  <si>
    <t>0,056kg per kg product</t>
  </si>
  <si>
    <t>Italy</t>
  </si>
  <si>
    <t>Finland</t>
  </si>
  <si>
    <t>Plastic, metal</t>
  </si>
  <si>
    <t>15g, 29g</t>
  </si>
  <si>
    <t>14g, 4g</t>
  </si>
  <si>
    <t>13g, 5g</t>
  </si>
  <si>
    <t>Bregott normalsaltat 300g</t>
  </si>
  <si>
    <t>ICA Smör normalsaltat 500g</t>
  </si>
  <si>
    <t>Yoggi original krämig hallon 1l</t>
  </si>
  <si>
    <t>Arla färsk lättmjölk 1l</t>
  </si>
  <si>
    <t>ICA Vetemjöl 2kg</t>
  </si>
  <si>
    <t>Finn Crisp original 200g</t>
  </si>
  <si>
    <t>Drömrulltårta ICA 370g</t>
  </si>
  <si>
    <t>Havre Fras 375g</t>
  </si>
  <si>
    <t>0,083kg, 0,033kg per kg product</t>
  </si>
  <si>
    <t>0,097kg, 0,05kg per kg product</t>
  </si>
  <si>
    <t>0,02kg per kg product</t>
  </si>
  <si>
    <t>0,007kg per kg product</t>
  </si>
  <si>
    <t>0,032kg per kg product</t>
  </si>
  <si>
    <t>0,86kg per kg product</t>
  </si>
  <si>
    <t>0,058kg per kg product</t>
  </si>
  <si>
    <t>0,05kg per kg product</t>
  </si>
  <si>
    <t>0,06kg per kg product</t>
  </si>
  <si>
    <t>0,055kg, 0,005kg per kg product</t>
  </si>
  <si>
    <t>0,031kg, 0,006kg per kg product</t>
  </si>
  <si>
    <t>0,031kg, 0,006g per kg product</t>
  </si>
  <si>
    <t>0,1kg, 0,005 kg per kg product</t>
  </si>
  <si>
    <t>FOOD AND NON -ALCOHOLIC BEVERAGES</t>
  </si>
  <si>
    <t>Food</t>
  </si>
  <si>
    <t>Rice</t>
  </si>
  <si>
    <t>Other cereal and grin mill products</t>
  </si>
  <si>
    <t>Flours and other cereals</t>
  </si>
  <si>
    <t>Bread</t>
  </si>
  <si>
    <t>Breakfast cereals</t>
  </si>
  <si>
    <t>Meat</t>
  </si>
  <si>
    <t>Beef and veal</t>
  </si>
  <si>
    <t>Pork</t>
  </si>
  <si>
    <t>Lamb and goat</t>
  </si>
  <si>
    <t>Poultry</t>
  </si>
  <si>
    <t>Other meats</t>
  </si>
  <si>
    <t>Other meat preparations</t>
  </si>
  <si>
    <t>Cereals and cereal products</t>
  </si>
  <si>
    <t>Fish and other seafood</t>
  </si>
  <si>
    <t>Fish, fresh, chilled or frozen</t>
  </si>
  <si>
    <t>Salmon</t>
  </si>
  <si>
    <t xml:space="preserve">Fish and other seafood, dried, smoked or salted </t>
  </si>
  <si>
    <t>Other seafood, fresh, chilled or frozen</t>
  </si>
  <si>
    <t xml:space="preserve">Annan konserverad eller beredd fisk och skaldjur  </t>
  </si>
  <si>
    <t>Other fish, prepared or preserved</t>
  </si>
  <si>
    <t>Cod</t>
  </si>
  <si>
    <t>Meat, offal, blood and other parts of slaughtered animals' preparations</t>
  </si>
  <si>
    <t>Meat of pigs, cuts, salted, dried or smoked (bacon and ham)</t>
  </si>
  <si>
    <t>Macaroni, noodles, couscous and similar pasta products</t>
  </si>
  <si>
    <t>Macaroni, noodles, and similar pasta products</t>
  </si>
  <si>
    <t>Pre-cooked dishes based on pasta and cereals</t>
  </si>
  <si>
    <t>Pre-cooked dishes based on meat</t>
  </si>
  <si>
    <t>Pre-cooked dishes based on fish</t>
  </si>
  <si>
    <t>Fish and other seafood, prepared or preserved</t>
  </si>
  <si>
    <t>Livers, roes and offal of fish and of other seafood in all forms</t>
  </si>
  <si>
    <t>Sandwiches, pizzas, quiches, meat or fish pies, frozen or not</t>
  </si>
  <si>
    <t>Low fat milk</t>
  </si>
  <si>
    <t>Yoghurt, containing added sugar or other sweetening matter or flavoured or containing added fruit, nuts or cocoa</t>
  </si>
  <si>
    <t>Yoghurt</t>
  </si>
  <si>
    <t>Other milk products</t>
  </si>
  <si>
    <t>Eggs</t>
  </si>
  <si>
    <t>Oils and fats</t>
  </si>
  <si>
    <t>Butter</t>
  </si>
  <si>
    <t>Other butter products</t>
  </si>
  <si>
    <t>Margarine and other vegetable fats</t>
  </si>
  <si>
    <t>Citrus fruits, fresh, chilled or frozen</t>
  </si>
  <si>
    <t>Bananas, fresh, chilled or frozen</t>
  </si>
  <si>
    <t>Apples, fresh chilled or frozen</t>
  </si>
  <si>
    <t>Berries, fresh, chilled or frozen</t>
  </si>
  <si>
    <t>Berries (excluding grapes)</t>
  </si>
  <si>
    <t>Grapes</t>
  </si>
  <si>
    <t>Dried fruit, seeds and nuts</t>
  </si>
  <si>
    <t>Nuts and seeds, in shell or shelled</t>
  </si>
  <si>
    <t>Vegetables</t>
  </si>
  <si>
    <t>Cabbage, fresh or chilled</t>
  </si>
  <si>
    <t>Potatoes</t>
  </si>
  <si>
    <t>Leafy or stem vegetables, fresh, chilled or frozen</t>
  </si>
  <si>
    <t>Fruit-bearing vegetables, fresh, chilled or frozen</t>
  </si>
  <si>
    <t>Other vegetables, fresh, chilled or frozen</t>
  </si>
  <si>
    <t>Canned vegetables</t>
  </si>
  <si>
    <t>Sugar, confectionery and desserts</t>
  </si>
  <si>
    <t>Chocolate</t>
  </si>
  <si>
    <t>Sugar, cane and beets</t>
  </si>
  <si>
    <t>Sauces and condiments</t>
  </si>
  <si>
    <t>Salt, spices and culinary herbs</t>
  </si>
  <si>
    <t>Other food products</t>
  </si>
  <si>
    <t>Fruit</t>
  </si>
  <si>
    <t>Hard cheese</t>
  </si>
  <si>
    <t>Curd cheese</t>
  </si>
  <si>
    <t>Cheese and curd</t>
  </si>
  <si>
    <t>Confectionary products</t>
  </si>
  <si>
    <t>Edible ices and ice cream</t>
  </si>
  <si>
    <t>Food products, not elsewhere classified</t>
  </si>
  <si>
    <t>Coffee, tea and cocoa</t>
  </si>
  <si>
    <t>Coffee</t>
  </si>
  <si>
    <t>Tea</t>
  </si>
  <si>
    <t>Mineral or spring waters</t>
  </si>
  <si>
    <t>Soft drinks</t>
  </si>
  <si>
    <t>Fruit and vegetable juices</t>
  </si>
  <si>
    <t>Spirits</t>
  </si>
  <si>
    <t>Spirits and liqueurs</t>
  </si>
  <si>
    <t>Wine</t>
  </si>
  <si>
    <t>Wine from grapes</t>
  </si>
  <si>
    <t>Beer</t>
  </si>
  <si>
    <t>Cigarettes</t>
  </si>
  <si>
    <t>Other tobacco products</t>
  </si>
  <si>
    <t>1,002 kg per kg product</t>
  </si>
  <si>
    <t>Furniture and furnishings, carpets and other floor coverings</t>
  </si>
  <si>
    <t>Furniture and furnishings</t>
  </si>
  <si>
    <t>Sofas</t>
  </si>
  <si>
    <t>Armchairs</t>
  </si>
  <si>
    <t>Beds</t>
  </si>
  <si>
    <t>Wardrobes, chests of drawers and bookcases</t>
  </si>
  <si>
    <t>Garden furniture</t>
  </si>
  <si>
    <t>Carpets and other floor coverings</t>
  </si>
  <si>
    <t>Carpets and rugs</t>
  </si>
  <si>
    <t>Repair of furniture, furnishings and floor coverings</t>
  </si>
  <si>
    <t>Household textiles</t>
  </si>
  <si>
    <t>Sheets and pillowcases</t>
  </si>
  <si>
    <t>Blankets, pillows and bedspreads</t>
  </si>
  <si>
    <t>Table linen and curtains</t>
  </si>
  <si>
    <t>Household appliances</t>
  </si>
  <si>
    <t>Clothes washing machines</t>
  </si>
  <si>
    <t>Dishwashers</t>
  </si>
  <si>
    <t>Panels, hobs, spit roasters, ovens, combined cookers and micro wave ovens</t>
  </si>
  <si>
    <t>Vaccum cleaners</t>
  </si>
  <si>
    <t>Repair, installation and hire of household appliances</t>
  </si>
  <si>
    <t>Glassware, crystal-ware, chinaware and cutlery</t>
  </si>
  <si>
    <t>Cups and mugs</t>
  </si>
  <si>
    <t>Cutlery, flatware and silverware</t>
  </si>
  <si>
    <t>Kitchen utensils and articles</t>
  </si>
  <si>
    <t>Repair of glassware, tableware and household utensils</t>
  </si>
  <si>
    <t>Major tools and equipment</t>
  </si>
  <si>
    <t>Small tools and miscellaneous accessories</t>
  </si>
  <si>
    <t>Goods and services for routine household maintenanace</t>
  </si>
  <si>
    <t>Non-durable household goods</t>
  </si>
  <si>
    <t>Other non-durable small household articles</t>
  </si>
  <si>
    <t>Domestic and household services</t>
  </si>
  <si>
    <t>Actual rentals for housing</t>
  </si>
  <si>
    <t>Actual rentals paid by tenants</t>
  </si>
  <si>
    <t>Maintenance and repair of the dwelling</t>
  </si>
  <si>
    <t>Water supply and miscellaneous services relating to the dwelling</t>
  </si>
  <si>
    <t>Electricity, gas and other fuels</t>
  </si>
  <si>
    <t>Electricity</t>
  </si>
  <si>
    <t>Solid fuels</t>
  </si>
  <si>
    <t>Heat energy</t>
  </si>
  <si>
    <t>Clothing</t>
  </si>
  <si>
    <t>Clothing materials</t>
  </si>
  <si>
    <t>Garments</t>
  </si>
  <si>
    <t>Garments for women or girls</t>
  </si>
  <si>
    <t>Garments for men or boys</t>
  </si>
  <si>
    <t>Garments for infants (0-2 years) and children (3-13 years)</t>
  </si>
  <si>
    <t>Other articles of clothing and clothing accessories</t>
  </si>
  <si>
    <t>Cleaning, repair tailoring and hire of clothing</t>
  </si>
  <si>
    <t>Footwear</t>
  </si>
  <si>
    <t>Footwear for men</t>
  </si>
  <si>
    <t>Footwear for women</t>
  </si>
  <si>
    <t>Footwear for infants and children (0-13 years)</t>
  </si>
  <si>
    <t>Cleaning, repair and hire of footwear</t>
  </si>
  <si>
    <t>Medical products, appliances and equipment</t>
  </si>
  <si>
    <t>Pharmaceutical products</t>
  </si>
  <si>
    <t>Other medical products</t>
  </si>
  <si>
    <t>Therapeutic appliances and equipment</t>
  </si>
  <si>
    <t>Corrective eye-glasses</t>
  </si>
  <si>
    <t>Corrective contact lenses</t>
  </si>
  <si>
    <t>Out-patient services</t>
  </si>
  <si>
    <t>Medical services</t>
  </si>
  <si>
    <t>General  practice</t>
  </si>
  <si>
    <t>Dental services</t>
  </si>
  <si>
    <t>Paramedical services</t>
  </si>
  <si>
    <t>Services of medical analysis laboratories and X-ray centres</t>
  </si>
  <si>
    <t>Outpatient long-term care services</t>
  </si>
  <si>
    <t>Hospital services</t>
  </si>
  <si>
    <t>Purchase of vehicles</t>
  </si>
  <si>
    <t>Motor cars</t>
  </si>
  <si>
    <t>New motor cars</t>
  </si>
  <si>
    <t>Second-hand motor cars</t>
  </si>
  <si>
    <t>Bicycles</t>
  </si>
  <si>
    <t>Animal drawn vehicles</t>
  </si>
  <si>
    <t>Other modes of transportation</t>
  </si>
  <si>
    <t>Operation of personal transport equipment</t>
  </si>
  <si>
    <t>Parts and accessories for personal transport equipment</t>
  </si>
  <si>
    <t>Tyres</t>
  </si>
  <si>
    <t>Parts for personal transport equipment</t>
  </si>
  <si>
    <t>Accessories for personal transport equipment</t>
  </si>
  <si>
    <t>Fuels and lubricants for personal transport equipment</t>
  </si>
  <si>
    <t>Petrol</t>
  </si>
  <si>
    <t>Diesel</t>
  </si>
  <si>
    <t>Lubricants</t>
  </si>
  <si>
    <t>Alternative fuels for personal transport equipment</t>
  </si>
  <si>
    <t>Maintenanceand repair of personal transport equipment</t>
  </si>
  <si>
    <t>Repair, car</t>
  </si>
  <si>
    <t>Repair, motor cycle</t>
  </si>
  <si>
    <t>Repair, bicycle</t>
  </si>
  <si>
    <t>Other services in respect of personal transport equipment</t>
  </si>
  <si>
    <t>Transport services</t>
  </si>
  <si>
    <t>Passenger transport by railway</t>
  </si>
  <si>
    <t>Passenger transport by underground</t>
  </si>
  <si>
    <t>Passenger transport by road</t>
  </si>
  <si>
    <t>Passenger transport by air</t>
  </si>
  <si>
    <t>Domestic flights</t>
  </si>
  <si>
    <t>Passenger transport by sea and inland waterway</t>
  </si>
  <si>
    <t>Combined passenger transport</t>
  </si>
  <si>
    <t>Other purchased transport services</t>
  </si>
  <si>
    <t>Postal servics</t>
  </si>
  <si>
    <t>Telephone and telefax services</t>
  </si>
  <si>
    <t>Communication services</t>
  </si>
  <si>
    <t>Audio-visual, photographic and information processing equipment</t>
  </si>
  <si>
    <t>Equipment for the reception, recording and reproduction of sound</t>
  </si>
  <si>
    <t>Equipment for the reception, recording and reproduction of sound and picture</t>
  </si>
  <si>
    <t>Equipment for the reception, recording and reproduction of sound and vision</t>
  </si>
  <si>
    <t>Photographic and cinematographic equipment</t>
  </si>
  <si>
    <t>Cameras</t>
  </si>
  <si>
    <t>Optical instruments</t>
  </si>
  <si>
    <t>Information processing equipment</t>
  </si>
  <si>
    <t>Recording media</t>
  </si>
  <si>
    <t>Repair of audio-visual, photographic and information processing equipment</t>
  </si>
  <si>
    <t>Other major durables for recreation and culture</t>
  </si>
  <si>
    <t>Major durables for outdoor recreation</t>
  </si>
  <si>
    <t>Camper vans, caravans and trailers</t>
  </si>
  <si>
    <t>Boats, outboard motors and fitting out of boats</t>
  </si>
  <si>
    <t>Aeroplanes, microlight aircraft, gliders, hang-gliders and hot-air baloons</t>
  </si>
  <si>
    <t>Animals and equipment, non-pets</t>
  </si>
  <si>
    <t>Major items for games and sport</t>
  </si>
  <si>
    <t>Musical instruments</t>
  </si>
  <si>
    <t>Musical instruments and major durables for indoor recreation</t>
  </si>
  <si>
    <t>Major durables for indoor recreation</t>
  </si>
  <si>
    <t>Maintenance and repair of other major durables for recreation and culture</t>
  </si>
  <si>
    <t>Other recreational items and equipment, gardens and pets</t>
  </si>
  <si>
    <t>Games, toys and hobbies</t>
  </si>
  <si>
    <t>Equipment for sport, camping and open-air recreation</t>
  </si>
  <si>
    <t>Gardens, plants and flowers</t>
  </si>
  <si>
    <t>Pets and related products</t>
  </si>
  <si>
    <t>Products for pets</t>
  </si>
  <si>
    <t>Recreational and cultural services</t>
  </si>
  <si>
    <t>Recreational and sporting services - participation</t>
  </si>
  <si>
    <t>Recreational and sporting services</t>
  </si>
  <si>
    <t>Cultural services</t>
  </si>
  <si>
    <t>Cinemas, theatres, concerts</t>
  </si>
  <si>
    <t>Museums, libraries, zoological gardens</t>
  </si>
  <si>
    <t>Television and radio licence fees and hire of equipment</t>
  </si>
  <si>
    <t>Newspapers, books and stationery</t>
  </si>
  <si>
    <t>Books</t>
  </si>
  <si>
    <t>Newspapers and periodicals</t>
  </si>
  <si>
    <t>Newspapers</t>
  </si>
  <si>
    <t>Magazines and periodicals</t>
  </si>
  <si>
    <t>Miscellaneous printed matter</t>
  </si>
  <si>
    <t>Stationery and drawing materials</t>
  </si>
  <si>
    <t>Package holidays</t>
  </si>
  <si>
    <t>Package domestic holiday</t>
  </si>
  <si>
    <t>Package international holiday</t>
  </si>
  <si>
    <t>Pre-primary and primary education</t>
  </si>
  <si>
    <t>Secondary education</t>
  </si>
  <si>
    <t>Post-secondary non-tertiary education</t>
  </si>
  <si>
    <t>Tertiary education</t>
  </si>
  <si>
    <t>Education not definable by level</t>
  </si>
  <si>
    <t>Catering services</t>
  </si>
  <si>
    <t>Resturants , cafés and the like</t>
  </si>
  <si>
    <t>Resturants, cafés and dancing establishments</t>
  </si>
  <si>
    <t>Fast food and take away food services</t>
  </si>
  <si>
    <t>Canteens</t>
  </si>
  <si>
    <t>Accommodation services</t>
  </si>
  <si>
    <t>Cafés, bars and the like</t>
  </si>
  <si>
    <t>Nightclubs, pubs, dancing establishments</t>
  </si>
  <si>
    <t>Personal care</t>
  </si>
  <si>
    <t>Hairdressing salons and personal grooming</t>
  </si>
  <si>
    <t>Skin care</t>
  </si>
  <si>
    <t>Hairdressing</t>
  </si>
  <si>
    <t>Electric appliances for personal care</t>
  </si>
  <si>
    <t>Other appliances, articles and products for personal care</t>
  </si>
  <si>
    <t>Personal effects, not elsewhere classified</t>
  </si>
  <si>
    <t>Jewellery, clocks and watches</t>
  </si>
  <si>
    <t>Jewellery</t>
  </si>
  <si>
    <t>Clocks and watches</t>
  </si>
  <si>
    <t>Travel goods</t>
  </si>
  <si>
    <t>Other personal effects</t>
  </si>
  <si>
    <t>Social protection</t>
  </si>
  <si>
    <t>Child care services</t>
  </si>
  <si>
    <t>Services to maintain people in their private homes, private</t>
  </si>
  <si>
    <t>Services to maintain people in their private homes, public</t>
  </si>
  <si>
    <t>Child care services, private</t>
  </si>
  <si>
    <t>Child care services, public</t>
  </si>
  <si>
    <t>Insurance</t>
  </si>
  <si>
    <t>Life insurance</t>
  </si>
  <si>
    <t>Insurance connected with the dwelling</t>
  </si>
  <si>
    <t>Insurance connected with health</t>
  </si>
  <si>
    <t>Insurance connected with transport</t>
  </si>
  <si>
    <t>Motor vehicle insurance, motor cycle</t>
  </si>
  <si>
    <t>Motor vehicle insurance, car</t>
  </si>
  <si>
    <t>Other insurance</t>
  </si>
  <si>
    <t>Financial services, not elsewhere classified</t>
  </si>
  <si>
    <t>Other financial services, not elsewhere classified</t>
  </si>
  <si>
    <t>Other services, not elsewhere classified</t>
  </si>
  <si>
    <t>Unemployment insurance, national insurance office, union membership and membership fees</t>
  </si>
  <si>
    <t>Unemploymen insurance and union membership fees</t>
  </si>
  <si>
    <t>Non-union membership fees</t>
  </si>
  <si>
    <t>Interest expenditures</t>
  </si>
  <si>
    <t>Interest expenditures, accomodation</t>
  </si>
  <si>
    <t>Interest expenditures, transport</t>
  </si>
  <si>
    <t>Vehicle tax</t>
  </si>
  <si>
    <t>Taxable benefits</t>
  </si>
  <si>
    <t>Property tax</t>
  </si>
  <si>
    <t>Property tax, weekend cottage</t>
  </si>
  <si>
    <t>Weekend cottage</t>
  </si>
  <si>
    <t>Interest expenditures, weekend cottage</t>
  </si>
  <si>
    <t>Other bakery products</t>
  </si>
  <si>
    <t>Pastries</t>
  </si>
  <si>
    <t>Cakes and biscuits</t>
  </si>
  <si>
    <t>Rice and similar products</t>
  </si>
  <si>
    <t>CLOTHING AND FOOTWEAR</t>
  </si>
  <si>
    <t>ALCOHOLIC BEVERAGES, TOBACCO AND NARCOTICS</t>
  </si>
  <si>
    <t>Expenditures of an average household, 2012</t>
  </si>
  <si>
    <t>Expenditures of an average household, 2016</t>
  </si>
  <si>
    <t>HOUSING, WATER, ELECTRICITY, GAS AND OTHER FUELS</t>
  </si>
  <si>
    <t>FURNISHINGS, HOUSEHOLD EQUIPMENT AND ROUTINE HOUSEHOLD MAINTENANCE</t>
  </si>
  <si>
    <t>HEALTH</t>
  </si>
  <si>
    <t>COMMUNICATION</t>
  </si>
  <si>
    <t>EDUCATION</t>
  </si>
  <si>
    <t>RESTURANTS AND HOTELS</t>
  </si>
  <si>
    <t>MISCELLANEOUS GOODS AND SERVICES</t>
  </si>
  <si>
    <t>Coop lättkvarg, 250g</t>
  </si>
  <si>
    <t>France</t>
  </si>
  <si>
    <t>Arla Yoghurt 3% 1l</t>
  </si>
  <si>
    <t>Consumerprice per kg, 2019</t>
  </si>
  <si>
    <t>Consumerprice per kg, 2016</t>
  </si>
  <si>
    <t>Plastic 0.031 kg</t>
  </si>
  <si>
    <t>India</t>
  </si>
  <si>
    <t>Extra basic goods</t>
  </si>
  <si>
    <t>Rye flour</t>
  </si>
  <si>
    <t>Basmati rice, Golden sun, 1 kg</t>
  </si>
  <si>
    <t>Lingongrova från Pågen, 500 gram</t>
  </si>
  <si>
    <t xml:space="preserve">Wholegrain rye flour  95%. </t>
  </si>
  <si>
    <t>0.95 kg rye flour per kg.</t>
  </si>
  <si>
    <t>Producer price 2019</t>
  </si>
  <si>
    <t>Oat flakes</t>
  </si>
  <si>
    <t>Sugar from beets</t>
  </si>
  <si>
    <t>Producer price 2016</t>
  </si>
  <si>
    <t>Basic goods kg per kg</t>
  </si>
  <si>
    <t>Oat meal</t>
  </si>
  <si>
    <t>Denmark</t>
  </si>
  <si>
    <t>30 % sugar, oat flakes, vegetable oil (palm oil). Assumed content of palm oil is 0.29 kg per kg.</t>
  </si>
  <si>
    <t>0,3 kg sugar, 0,29 kg palm oil and 0,4 kg oat flakes</t>
  </si>
  <si>
    <t>Place of production</t>
  </si>
  <si>
    <t>Malaysia</t>
  </si>
  <si>
    <t>584.58</t>
  </si>
  <si>
    <t>Dec. 31, 2018</t>
  </si>
  <si>
    <t>Nov. 30, 2018</t>
  </si>
  <si>
    <t>Oct. 31, 2018</t>
  </si>
  <si>
    <t>Sept. 30, 2018</t>
  </si>
  <si>
    <t>Aug. 31, 2018</t>
  </si>
  <si>
    <t>July 31, 2018</t>
  </si>
  <si>
    <t>June 30, 2018</t>
  </si>
  <si>
    <t>May 31, 2018</t>
  </si>
  <si>
    <t>April 30, 2018</t>
  </si>
  <si>
    <t>March 31, 2018</t>
  </si>
  <si>
    <t>Feb. 28, 2018</t>
  </si>
  <si>
    <t>Palm oil prices in US dollars per metric tonne</t>
  </si>
  <si>
    <t>Average</t>
  </si>
  <si>
    <t>Palm oil pices in SEK per kg</t>
  </si>
  <si>
    <t xml:space="preserve">1,39kg milling wheat per kg product </t>
  </si>
  <si>
    <t xml:space="preserve">Wheat flour, wholegrain wheat flour, wholegrain rye flour, rye flour, rape seed oil. 22 % whole grain. Wheat flour </t>
  </si>
  <si>
    <t>0,4 kg wheat flour, 0,3 kg rye flour, 0,035 kg rape seed oil</t>
  </si>
  <si>
    <t>Whole oat flour 78%, sugar 9%</t>
  </si>
  <si>
    <t>509g, 4g</t>
  </si>
  <si>
    <t>Spain</t>
  </si>
  <si>
    <t>Trousers</t>
  </si>
  <si>
    <t>Jackets</t>
  </si>
  <si>
    <t>Consumerprice per kg, 2018</t>
  </si>
  <si>
    <t>Shirts</t>
  </si>
  <si>
    <t>Sweaters, cardigans, sweatshirts, T-shirts</t>
  </si>
  <si>
    <t>Underwear, socks</t>
  </si>
  <si>
    <t>Trousers (jeans)</t>
  </si>
  <si>
    <t>Dresses</t>
  </si>
  <si>
    <t>Skirts</t>
  </si>
  <si>
    <t>Blouses</t>
  </si>
  <si>
    <t>Carton, paper</t>
  </si>
  <si>
    <t>0,3 kg, 0,05 kg per kg product</t>
  </si>
  <si>
    <t>Shoes (suede, leather, cloth), Men</t>
  </si>
  <si>
    <t>Shoes (suede, leather, cloth), Women</t>
  </si>
  <si>
    <t>Shoes (suede, leather, cloth), Children</t>
  </si>
  <si>
    <t>0,011 kg per kg product</t>
  </si>
  <si>
    <t>0,678kg, 0,005 kg per kg product</t>
  </si>
  <si>
    <t>0,024kg per kg product</t>
  </si>
  <si>
    <t>0,014 kg per kg product</t>
  </si>
  <si>
    <t>Bangladesh</t>
  </si>
  <si>
    <t>China</t>
  </si>
  <si>
    <t>Bangladesh/China</t>
  </si>
  <si>
    <t>0,562 kg tot, 0,562 kg Cotton fibre</t>
  </si>
  <si>
    <t>1,140 kg tot, 1,093 kg Cotton fibre, 0,046 kg Polyester per kg product</t>
  </si>
  <si>
    <t>0,620 kg tot, 0,595 kg Cotton fibre, 0,025 kg Polyester</t>
  </si>
  <si>
    <t>1,141 kg tot, 1,141 kg Cotton fibre per kg product</t>
  </si>
  <si>
    <t>0,485 kg tot, 0,485 kg Cotton fibre</t>
  </si>
  <si>
    <t>1,141 kg tot, 0,365 kg Wool, 0,057 kg Cotton fibre, 0,057 kg Nylon, 0,377 kg Acryl, 0,285 kg Polyester per kg product</t>
  </si>
  <si>
    <t>1,112 kg tot, 0,356 kg Wool, 0,056 kg Cotton fibre, 0,056kg Nylon, 0,367 kg Acryl, 0,278 kg Polyester</t>
  </si>
  <si>
    <t>1,150 kg tot, 0,,864 kg Nylon, 0,286 kg PU/PP per kg product</t>
  </si>
  <si>
    <t>0,485 kg tot, 0,466 kg Cotton fibre, 0,019 kg Polyester</t>
  </si>
  <si>
    <t>1,141 kg tot, 1,096 kg Cotton fibre, 0,045 kg Polyester per kg product</t>
  </si>
  <si>
    <t>1,134 kg tot, 0,701 kg Rubber, 0,102 kg Paper, 0,198 kg Polyester, 0,022 kg Cotton fibre, 0,111 kg Leather</t>
  </si>
  <si>
    <t>1,125 kg tot, 0,780 kg Rubber, 0,113 kg Paper, 0,223 kg Polyester, 0,025 kg Cotton fibre, 0,125 kg Leather per kg product</t>
  </si>
  <si>
    <t>0,453 kg tot, 0,233 kg Rubber, 0,056 kg Paper, 0,097 kg Polyester, 0,064 kg Leather</t>
  </si>
  <si>
    <t>1,276 kg tot, 0,656 kg Rubber, 0,158 kg Paper, 0,214 kg Polyester, 0,141 kg Leather per kg product</t>
  </si>
  <si>
    <t>0,237 kg tot, 0,149 kg Rubber, 0,037 kg Polyester, 0,050 kg Cotton fibre</t>
  </si>
  <si>
    <t>1,274 kg tot, 0,801 kg Rubber, 0,199 kg Polyester, 0,269 kg Cotton fibre per kg product</t>
  </si>
  <si>
    <t>Average weight 0,357 kg</t>
  </si>
  <si>
    <t>Average weight 0,27 kg</t>
  </si>
  <si>
    <t>Average weight 0,425 kg</t>
  </si>
  <si>
    <t>Average weight 0,213 kg</t>
  </si>
  <si>
    <t>Average weight 0,188 kg</t>
  </si>
  <si>
    <t>Average weight 0,225kg</t>
  </si>
  <si>
    <t>Average weight 0,05kg</t>
  </si>
  <si>
    <t>Average weight 0,207 kg</t>
  </si>
  <si>
    <t>Average weight 0,174 kg</t>
  </si>
  <si>
    <t>Average weight 0,074 kg</t>
  </si>
  <si>
    <t>Average weight 0,544 kg</t>
  </si>
  <si>
    <t>Average weight 0,801 kg</t>
  </si>
  <si>
    <t>Average weight 0,493 kg</t>
  </si>
  <si>
    <t>1,140 kg tot, 1,140 kg Cotton fibre per kg product</t>
  </si>
  <si>
    <t>267g, 44g</t>
  </si>
  <si>
    <t>107g, 18g</t>
  </si>
  <si>
    <t>56g, 9g</t>
  </si>
  <si>
    <t>Average weight 0,889 kg</t>
  </si>
  <si>
    <t>Average weight 0,355 kg tot</t>
  </si>
  <si>
    <t>Average weight 0,186 kg</t>
  </si>
  <si>
    <t>Consumerprice per piece, SEK, 2019</t>
  </si>
  <si>
    <t>Basic goods kg per piece</t>
  </si>
  <si>
    <t>Packaging material and weight, kg per piece</t>
  </si>
  <si>
    <t>Vietnam</t>
  </si>
  <si>
    <t>Cardboard, plastic (foam)</t>
  </si>
  <si>
    <t>1,5kg, 0,05kg per piece</t>
  </si>
  <si>
    <t>18,75kg</t>
  </si>
  <si>
    <t>MIO Dovre</t>
  </si>
  <si>
    <t>9,9kg</t>
  </si>
  <si>
    <t>USA</t>
  </si>
  <si>
    <t>0,929 kg tot, 0,297 kg Wool, 0,046 kg Cotton fibre, 0,046 kg Nylon, 0,307 kg Acrylic, 0,232 kg Polyester</t>
  </si>
  <si>
    <t>1,160 kg tot, 0,371 kg Wool, 0,057 kg Cotton fibre, 0,057 kg Nylon, 0,383 kg Acrylic, 0,270 kg Polyester per kg product</t>
  </si>
  <si>
    <t>1,130 kg tot, 0,700kg Cotton fibre, 0,203kg Viscose, 0,010kg Nylon, 0,034kg Acrylic, 0,179kg Polyester per kg product</t>
  </si>
  <si>
    <t>0,234 kg tot, 0,145 kg Cotton fibre, 0,042 kg Viscose, 0,002 kg Nylon, 0,007 kg Acrylic, 0,037 kg Polyester</t>
  </si>
  <si>
    <t>0,197 kg tot, 0,108 kg Cotton fibre, 0,020 kg Viscose, 0,010 kg Nylon, 0,020 kg Acrylic, 0,039 kg Polyester</t>
  </si>
  <si>
    <t>1,132 kg tot, 0,621 kg Cotton fibre, 0,115 kg Viscose, 0,057 kg Nylon, 0,115 kg Acrylic, 0,224 kg polyester per kg product</t>
  </si>
  <si>
    <t>1,162 kg tot, 0,527 kg Cotton fibre, 0,081 kg Viscose, 0,297 kg Nylon, 0,041 kg Acryl, 0,122 kg PU/PP, 0,095 kg Polyester per kg product</t>
  </si>
  <si>
    <t>0,421 kg tot, 0,025 kg Cotton fibre, 0,105 kg Viscose, 0,004 kg Acryl, 0,286 kg Polyester</t>
  </si>
  <si>
    <t>1,179 kg tot, 0,070 kg Cotton fibre, 0,294 kg Viscose, 0,011 kg Acryl, 0,801 kg Polyester per kg product</t>
  </si>
  <si>
    <t>0,308 kg tot, 0,009 kg Wool, 0,021 kg Cotton fibre, 0,006 kg Silk, 0,006 kg Flax, 0,077 kg Viscose, 0,009 kg Acryl, 0,179 kg Polyester</t>
  </si>
  <si>
    <t>1,141 kg tot, 0,033 kg Wool, 0,078 kg Cotton fibre, 0,022 kg Silk, 0,022 kg Flax, 0,285 kg Viscose, 0,033 kg Acryl, 0,663 kg Polyester per kg product</t>
  </si>
  <si>
    <t>0,212 kg tot, 0,136 kg Cotton fibre, 0,038 kg Viscose, 0,002 kg Nylon, 0,006 kg Acryl, 0,030 kg Polyester</t>
  </si>
  <si>
    <t>1,128 kg tot, 0,724 kg Cotton fibre, 0,202 kg Viscose, 0,011 kg Nylon, 0,032 kg Acryl, 0,160 kg Polyester per kg product</t>
  </si>
  <si>
    <t>0,254 kg tot, 0,140 kg Cotton fibre, 0,025 kg Viscose, 0,013 kg Nylon, 0,025 kg Acryl, 0,051 kg Polyester</t>
  </si>
  <si>
    <t>1,128 kg tot, 0,622 kg Cotton fibre, 0,111 kg Viscose, 0,058 kg Nylon, 0,111 kg Acryl, 0,226 kg Polyester per kg product</t>
  </si>
  <si>
    <t>1,180 kg tot, 0,540 kg Cotton fibre, 0,080 kg Viscose, 0,306 kg Nylon, 0,040 kg Acryl, 0,120 kg PU/PP, 0,100 kg Polyester per kg product</t>
  </si>
  <si>
    <t>MIO Volly</t>
  </si>
  <si>
    <t>Average weight 0,148kg</t>
  </si>
  <si>
    <t>Average weight 0,126kg</t>
  </si>
  <si>
    <t>Average weight 0,017kg</t>
  </si>
  <si>
    <t>Belts, leather</t>
  </si>
  <si>
    <t>Clothing accessories, scarves</t>
  </si>
  <si>
    <t xml:space="preserve">Hats, caps, etc. </t>
  </si>
  <si>
    <t>Fabric</t>
  </si>
  <si>
    <t>Lodge cast iron skillet</t>
  </si>
  <si>
    <t>Cast iron</t>
  </si>
  <si>
    <t>2,412kg</t>
  </si>
  <si>
    <t>0,160 kg</t>
  </si>
  <si>
    <t>0,023kg per piece</t>
  </si>
  <si>
    <t>COOP fryspåsar 3 liter 40 st</t>
  </si>
  <si>
    <t>Glassware, tableware, cutlery and household utensils</t>
  </si>
  <si>
    <t>Porcelain</t>
  </si>
  <si>
    <t>MIO George örngott</t>
  </si>
  <si>
    <t>0,145kg</t>
  </si>
  <si>
    <t>Oak</t>
  </si>
  <si>
    <t>0,234kg stainless steel, 18,5kg fibre board per piece</t>
  </si>
  <si>
    <t>Jysk Breidtinden kudde</t>
  </si>
  <si>
    <t>0,43kg</t>
  </si>
  <si>
    <t>Polyester</t>
  </si>
  <si>
    <t>0,274kg</t>
  </si>
  <si>
    <t>0,274kg porcelain per piece</t>
  </si>
  <si>
    <t>H&amp;M Mugg i porslin</t>
  </si>
  <si>
    <t>0,316kg</t>
  </si>
  <si>
    <t>Stainless steel</t>
  </si>
  <si>
    <t>ICA kulörtvätt 750g</t>
  </si>
  <si>
    <t>Bauhaus loungestol sunfun tennis vit</t>
  </si>
  <si>
    <t>5kg</t>
  </si>
  <si>
    <t>Steel</t>
  </si>
  <si>
    <t>5kg steel per piece</t>
  </si>
  <si>
    <t>Hong Kong</t>
  </si>
  <si>
    <t>Consumerprice per piece, SEK, 2016</t>
  </si>
  <si>
    <t>0,43kg Polyester per piece</t>
  </si>
  <si>
    <t>2,412 kg cast iron per piece</t>
  </si>
  <si>
    <t>Stainless steel (screws), Fibre board</t>
  </si>
  <si>
    <t>Hungary</t>
  </si>
  <si>
    <t>Poland</t>
  </si>
  <si>
    <t>4, 532kg</t>
  </si>
  <si>
    <t>Cardboard, plastic</t>
  </si>
  <si>
    <t>0,890kg, 0,026kg per piece</t>
  </si>
  <si>
    <t>70,1 kg</t>
  </si>
  <si>
    <t>10,599kg</t>
  </si>
  <si>
    <t>0,897kg, 0,177kg per piece</t>
  </si>
  <si>
    <t>0,169 kg tot, 0,169kg Cotton fibre</t>
  </si>
  <si>
    <t>0,142 kg tot, 0,078kg Cotton fibre, 0,014 kg Viscose, 0,007kg Nylon, 0,014kg Acrylic, 0,028kg Polyester</t>
  </si>
  <si>
    <t>1,142kg tot, 1,142kg Cotton fibre</t>
  </si>
  <si>
    <t>1,127 kg tot, 0,619kg Cotton fibre, 0,111 kg Viscose, 0,056kg Nylon, 0,111kg Acrylic, 0,222kg Polyester</t>
  </si>
  <si>
    <t>2kg</t>
  </si>
  <si>
    <t>2kg porcelain per piece</t>
  </si>
  <si>
    <t>Kähler design Omaggio vas 28 cm</t>
  </si>
  <si>
    <t>2kg glass per piece</t>
  </si>
  <si>
    <t>Design house Stockholm Blond Salladsskål 30 cm</t>
  </si>
  <si>
    <t>Galvanized steel, rubber</t>
  </si>
  <si>
    <t>Average weight 0,12kg</t>
  </si>
  <si>
    <t>Orust Pinnstol</t>
  </si>
  <si>
    <t>8,5 kg oak per piece</t>
  </si>
  <si>
    <t>Estonia</t>
  </si>
  <si>
    <t>8kg</t>
  </si>
  <si>
    <t>6,921kg Galvanized steel, 1,079kg rubber per piece</t>
  </si>
  <si>
    <t>1,1kg</t>
  </si>
  <si>
    <t>Cardboard</t>
  </si>
  <si>
    <t>8,5kg</t>
  </si>
  <si>
    <t>Total transport weight</t>
  </si>
  <si>
    <t>Cotton</t>
  </si>
  <si>
    <t>0,145kg Cotton per piece</t>
  </si>
  <si>
    <t>0,396kg Stainless steel per piece</t>
  </si>
  <si>
    <t>0,241kg per piece</t>
  </si>
  <si>
    <t>0,557kg</t>
  </si>
  <si>
    <t>0,183kg</t>
  </si>
  <si>
    <t>Average weight 0,242kg</t>
  </si>
  <si>
    <t>0,278kg tot, 0,223kg Cotton, 0,009kg Viscose, 0,014kg Nylon, 0,033kg Polyester</t>
  </si>
  <si>
    <t>11,673kg</t>
  </si>
  <si>
    <t>5,448kg</t>
  </si>
  <si>
    <t>0,245 kg tot, 0,184 kg Nylon, 0,061 kg Polyurethane/polypropylene</t>
  </si>
  <si>
    <t>0,059 kg tot, 0,027 kg Cotton fibre, 0,004 kg Viscose, 0,0153 kg Nylon, 0,002 kg Acryl, 0,006 kg Polyurethane/polypropylene, 0,005 kg Polyester</t>
  </si>
  <si>
    <t>0,020 kg tot, 0,009kg Cotton, 0,001kg Viscose, 0,005kg Nylon, 0,001kg Acrylic, 0,002kg Polyurethane/Polypropylene, 0,002kg Polyester</t>
  </si>
  <si>
    <t>0,086 kg tot, 0,039 kg Cotton fibre, 0,006 kg Viscose, 0,022 kg Nylon, 0,003 kg Acryl, 0,009 kg Polyurethane/Polypropylene, 0,007 kg Polyester</t>
  </si>
  <si>
    <t>3,138kg, 0,092kg per piece</t>
  </si>
  <si>
    <t>2,156kg, 0,063kg per piece</t>
  </si>
  <si>
    <t>50,376kg</t>
  </si>
  <si>
    <t>0,071kg per piece</t>
  </si>
  <si>
    <t>0,821kg</t>
  </si>
  <si>
    <t>0,750kg</t>
  </si>
  <si>
    <t>Average weight 0,082kg</t>
  </si>
  <si>
    <t>Average weight 0,120kg</t>
  </si>
  <si>
    <t>0,125kg tot, 0,081kg Wool, 0,031kg Cotton, 0,013kg Acrylic</t>
  </si>
  <si>
    <t>1,176 kg tot, 0,529kg Cotton, 0,059kg Viscose, 0,294kg Nylon, 0,059kg Acrylic, 0,118kg Polyurethane/Polypropylene, 0,118kg Polyester</t>
  </si>
  <si>
    <t>1,042kg tot, 0,675kg Wool, 0,258kg Cotton, 0,108kg Acrylig per kg product</t>
  </si>
  <si>
    <t>1,175kg tot, 0,775kg Leather, 0,4kg Metal</t>
  </si>
  <si>
    <t>0,091kg tot, 0,091kg Acrylic</t>
  </si>
  <si>
    <t>1,110kg tot, 1,110kg Acrylic per kg product</t>
  </si>
  <si>
    <t>Average weight 0,261kg</t>
  </si>
  <si>
    <t>0,308kg tot, 0,308kg Cotton</t>
  </si>
  <si>
    <t>1,180kg tot, 1,180kg Cotton</t>
  </si>
  <si>
    <t>26,5kg</t>
  </si>
  <si>
    <t>6,5kg Steel, 4,0kg Block foam, 3,1kg Cotton, 0,9kg Wool, 0,5kg Polyester, 1,0kg Coconut fibre, 0,5kg Acrylic, 10,0kg Wood per piece</t>
  </si>
  <si>
    <t>0,63kg per piece</t>
  </si>
  <si>
    <t>61,2kg</t>
  </si>
  <si>
    <t>4,896kg, 0,163kg per piece</t>
  </si>
  <si>
    <t>66,259kg</t>
  </si>
  <si>
    <t>LCA Dishwasher</t>
  </si>
  <si>
    <t>LCA Washing machine</t>
  </si>
  <si>
    <t>LCA Microwave</t>
  </si>
  <si>
    <t>LCA Vacuum cleaner</t>
  </si>
  <si>
    <t>Hörby bruk 21:an Skottkärra</t>
  </si>
  <si>
    <t>LCA Sofa</t>
  </si>
  <si>
    <t>LCA Bed</t>
  </si>
  <si>
    <t>0,68kg, 0,023kg per piece</t>
  </si>
  <si>
    <t>9,203kg</t>
  </si>
  <si>
    <t>0,4kg, 0,013kg per piece</t>
  </si>
  <si>
    <t>5,413kg</t>
  </si>
  <si>
    <t>Copper, Galvanized steel, Stainless steel, Aluminium, Plastic</t>
  </si>
  <si>
    <t>0,197kg Copper, 0,234kg Galvanized steel, 0,408kg Stainless steel, 0,301kg Aluminium, 3,247kg Plastic per piece</t>
  </si>
  <si>
    <t>Telephone and telefax equipment</t>
  </si>
  <si>
    <t>TV</t>
  </si>
  <si>
    <t>Radio</t>
  </si>
  <si>
    <t>CD/DVD</t>
  </si>
  <si>
    <t>Laptop</t>
  </si>
  <si>
    <t>Laptop GLO</t>
  </si>
  <si>
    <t>Flat screen LCD GLO</t>
  </si>
  <si>
    <t>9,43kg</t>
  </si>
  <si>
    <t>1,36kg Laptop GLO per piece</t>
  </si>
  <si>
    <t>Charcoal</t>
  </si>
  <si>
    <t>0,291kg, 0,064kg per product</t>
  </si>
  <si>
    <t>Packaging material and weight, kg per product</t>
  </si>
  <si>
    <t>1,715kg</t>
  </si>
  <si>
    <t>0,247kg</t>
  </si>
  <si>
    <t>Newsprint paper</t>
  </si>
  <si>
    <t>Offside fotbollsmagasin</t>
  </si>
  <si>
    <t>Rubber, Polyester, Cotton</t>
  </si>
  <si>
    <t>0,120kg, 0,0157kg per product</t>
  </si>
  <si>
    <t>Wood</t>
  </si>
  <si>
    <t>0,017kg</t>
  </si>
  <si>
    <t xml:space="preserve">Plastic, Aluminium </t>
  </si>
  <si>
    <t>0,009kg, 0,009kg per piece</t>
  </si>
  <si>
    <t>DVD</t>
  </si>
  <si>
    <t>Plastic, paper</t>
  </si>
  <si>
    <t>0,066kg, 0,006kg per product</t>
  </si>
  <si>
    <t>1,36kg</t>
  </si>
  <si>
    <t>0,002kg, 0,015kg per piece</t>
  </si>
  <si>
    <t>0,089kg</t>
  </si>
  <si>
    <t>Iphone 6</t>
  </si>
  <si>
    <t>Battery, Aluminium, Stainless steel, Glass, Electronics, Display, Plastic</t>
  </si>
  <si>
    <t>0,126kg</t>
  </si>
  <si>
    <t>0,125kg, 0,032kg per product</t>
  </si>
  <si>
    <t>0,283kg</t>
  </si>
  <si>
    <t>Feel Rundsytt Läderkoppel Svart</t>
  </si>
  <si>
    <t>Leather, Stainless steel</t>
  </si>
  <si>
    <t>0,115kg</t>
  </si>
  <si>
    <t>0,092kg, 0,023kg per piece</t>
  </si>
  <si>
    <t>Fiskelina Kinetic Devil Fish Super Mono Clear</t>
  </si>
  <si>
    <t>Nylon</t>
  </si>
  <si>
    <t>0,075kg</t>
  </si>
  <si>
    <t>0,014kg per product</t>
  </si>
  <si>
    <t>0,075kg per product</t>
  </si>
  <si>
    <t>0,524kg</t>
  </si>
  <si>
    <t>Aluminium, Nylon, Plastic, Rubber</t>
  </si>
  <si>
    <t>0,020kg, 0,324kg, 0,160kg, 0,020kg per product</t>
  </si>
  <si>
    <t>Cardboard, Paper, Plastic</t>
  </si>
  <si>
    <t>0,160kg, 0, 020kg, 0,060kg per product</t>
  </si>
  <si>
    <t>0,764kg</t>
  </si>
  <si>
    <t>Galvanized steel, Copper, Aluminium, Iron, Tin, Lead, Gold, Nickel, Silver, Palladium, Plastic, Glass, Ceramics</t>
  </si>
  <si>
    <t>7,040kg Galvanized steel, 0,666kg Copper, 0,618kg Aluminium, 0,280kg Iron, 0,002kg Tin, 0,001kg Lead, 0,001kg Nickel, 0,786kg Plastic, 1,139kg Glass, 0,067kg Ceramics per piece</t>
  </si>
  <si>
    <t>Consumerprice per product, 2019</t>
  </si>
  <si>
    <t>Consumerprice per product, 2016</t>
  </si>
  <si>
    <t>Basic goods kg per product</t>
  </si>
  <si>
    <t>9,43kg Flat screen LCD GLO per product</t>
  </si>
  <si>
    <t>Weber grillkol 5kg</t>
  </si>
  <si>
    <t>15,015kg Wood per product</t>
  </si>
  <si>
    <t>0,105kg</t>
  </si>
  <si>
    <t>0,105kg polyester per piece</t>
  </si>
  <si>
    <t>11,892kg</t>
  </si>
  <si>
    <t>0,681kg</t>
  </si>
  <si>
    <t>Copper, Plastic, Rubber, Stainless steel</t>
  </si>
  <si>
    <t>0,270kg, 0,318kg, 0,078kg, 0,013kg per product</t>
  </si>
  <si>
    <t>0,146kg, 0,032kg per product</t>
  </si>
  <si>
    <t>2,018kg, 0,444kg per product</t>
  </si>
  <si>
    <t>0,334kg Newsprint paper per piece</t>
  </si>
  <si>
    <t>0,207kg</t>
  </si>
  <si>
    <t>Average weight 0,975 kg</t>
  </si>
  <si>
    <t>27,130kg</t>
  </si>
  <si>
    <t>20,300kg</t>
  </si>
  <si>
    <t>2,000kg</t>
  </si>
  <si>
    <t>11,000kg</t>
  </si>
  <si>
    <t>0,430kg</t>
  </si>
  <si>
    <t>73,330kg</t>
  </si>
  <si>
    <t>8,000kg</t>
  </si>
  <si>
    <t>Cardboard, paper</t>
  </si>
  <si>
    <t>Barley malt, Water</t>
  </si>
  <si>
    <t>Australia/Italy</t>
  </si>
  <si>
    <t>0,536kg</t>
  </si>
  <si>
    <t>0,019kg</t>
  </si>
  <si>
    <t>0,715kg per kg product</t>
  </si>
  <si>
    <t>Whiskey</t>
  </si>
  <si>
    <t>Grapes, Water</t>
  </si>
  <si>
    <t>Barley grain, Water</t>
  </si>
  <si>
    <t>0,799kg</t>
  </si>
  <si>
    <t>1,942kg, 23,857kg per kg product</t>
  </si>
  <si>
    <t>1,415kg, 4,433kg per kg product</t>
  </si>
  <si>
    <t>0,073kg, 8,43kg per kg product</t>
  </si>
  <si>
    <t>Type of basic goods</t>
  </si>
  <si>
    <t xml:space="preserve">Origin </t>
  </si>
  <si>
    <t>ID number</t>
  </si>
  <si>
    <t>Barley grains</t>
  </si>
  <si>
    <t>1,21kg</t>
  </si>
  <si>
    <t>0,859kg</t>
  </si>
  <si>
    <t>0,015kg Battery, 0,026kg Aluminium, 0,036kg Stainless steel, 0,016kg Glass, 0,015kg Electronics, 0,012kg Display, 0,006kg Plastic per product</t>
  </si>
  <si>
    <t>0,334kg</t>
  </si>
  <si>
    <t>0,133kg</t>
  </si>
  <si>
    <t>Aftonbladet</t>
  </si>
  <si>
    <t>0,229kg</t>
  </si>
  <si>
    <t>50,5kg</t>
  </si>
  <si>
    <t>5,5kg, 1,38kg, 0,6kg, 0,02kg, 1,5kg, 1,5kg, 20kg, 20kg per product</t>
  </si>
  <si>
    <t>Tobacco, water</t>
  </si>
  <si>
    <t>Harmonica</t>
  </si>
  <si>
    <t>Plastic, Stainless steel, Copper, Zinc</t>
  </si>
  <si>
    <t>0,045kg, 0,02kg, 0,004kg, 0,002kg per product</t>
  </si>
  <si>
    <t>Carton, Plastic</t>
  </si>
  <si>
    <t>0,042kg, 0,032kg per product</t>
  </si>
  <si>
    <t>0,220kg per product</t>
  </si>
  <si>
    <t>5,220kg</t>
  </si>
  <si>
    <t>0,4kg per kg cigarettes</t>
  </si>
  <si>
    <t>Camel 20-p</t>
  </si>
  <si>
    <t>Water, Tobacco</t>
  </si>
  <si>
    <t>2,548kg, 1,035kg per kg product</t>
  </si>
  <si>
    <t>Rulltobak 35g John Silver</t>
  </si>
  <si>
    <t>Paperback</t>
  </si>
  <si>
    <t>Germany</t>
  </si>
  <si>
    <t>Videogame</t>
  </si>
  <si>
    <t>Slovakia</t>
  </si>
  <si>
    <t>Netherlands</t>
  </si>
  <si>
    <t>0,201kg</t>
  </si>
  <si>
    <t>0,273kg</t>
  </si>
  <si>
    <t>1kg</t>
  </si>
  <si>
    <t>Steel, wood</t>
  </si>
  <si>
    <t>0,7kg, 0,3kg per piece</t>
  </si>
  <si>
    <t>Rake</t>
  </si>
  <si>
    <t>0,125kg, 0,125kg per kg product</t>
  </si>
  <si>
    <t>0,004kg, 0,004kg</t>
  </si>
  <si>
    <t>0,008kg</t>
  </si>
  <si>
    <t>Non-electronic appliances for personal care</t>
  </si>
  <si>
    <t>Personal hygiene</t>
  </si>
  <si>
    <t>Cosmetic products, cosmetics, perfume, deodorant</t>
  </si>
  <si>
    <t>Toiletpaper, paper tissues etc</t>
  </si>
  <si>
    <t>Videogames</t>
  </si>
  <si>
    <t>Soft toy</t>
  </si>
  <si>
    <t>Toys and hobby items</t>
  </si>
  <si>
    <t>Shoes intended for a specific sport</t>
  </si>
  <si>
    <t>Fishing gear</t>
  </si>
  <si>
    <t>Sporting goods, not fishing gear</t>
  </si>
  <si>
    <t>LCA Tennis racket</t>
  </si>
  <si>
    <t>Inflatable boat</t>
  </si>
  <si>
    <t>Diapers</t>
  </si>
  <si>
    <t>Feminine hygiene</t>
  </si>
  <si>
    <t>Norway</t>
  </si>
  <si>
    <t>0,678kg</t>
  </si>
  <si>
    <t>0,678kg per product</t>
  </si>
  <si>
    <t>0,147kg per kg product</t>
  </si>
  <si>
    <t>Tissue paper EU</t>
  </si>
  <si>
    <t>0,5 kg, 0,5kg per kg product</t>
  </si>
  <si>
    <t>Soap EU</t>
  </si>
  <si>
    <t>Sunglasses</t>
  </si>
  <si>
    <t>Soap</t>
  </si>
  <si>
    <t>Deodorant</t>
  </si>
  <si>
    <t>0,275kg per kg product</t>
  </si>
  <si>
    <t>0,275kg</t>
  </si>
  <si>
    <t>0,09kg per kg product</t>
  </si>
  <si>
    <t>0,825kg</t>
  </si>
  <si>
    <t>0,365kg</t>
  </si>
  <si>
    <t>0,05kg</t>
  </si>
  <si>
    <t>Glass, Plastic</t>
  </si>
  <si>
    <t>0,069kg, 0,015kg per kg product</t>
  </si>
  <si>
    <t>0,134kg</t>
  </si>
  <si>
    <t>Scissor</t>
  </si>
  <si>
    <t>0,041kg</t>
  </si>
  <si>
    <t>0,041kg per kg product</t>
  </si>
  <si>
    <t>0,004kg per kg product</t>
  </si>
  <si>
    <t>0,045kg</t>
  </si>
  <si>
    <t>Plastic, Copper, Zinc, Tin, Polyester, Ash Wood, Rubber, Silicone</t>
  </si>
  <si>
    <t>Ladies running shoe</t>
  </si>
  <si>
    <t>Transport weight</t>
  </si>
  <si>
    <t>Pulp, Plastic</t>
  </si>
  <si>
    <t>Wallet</t>
  </si>
  <si>
    <t>Leather</t>
  </si>
  <si>
    <t>Pulp, Silicone, Plastic</t>
  </si>
  <si>
    <t>0,06kg</t>
  </si>
  <si>
    <t>0,054kg</t>
  </si>
  <si>
    <t>Plastic, Glass</t>
  </si>
  <si>
    <t>0,04kg</t>
  </si>
  <si>
    <t>0,01kg, 0,03kg per kg product</t>
  </si>
  <si>
    <t>0,094kg</t>
  </si>
  <si>
    <t>Cardboard, Plastic</t>
  </si>
  <si>
    <t>0,160 kg plastic per piece</t>
  </si>
  <si>
    <t>Fiberboard, Block foam, Cotton, Wood, Steel, Polyester, Phosphorous, Plastic</t>
  </si>
  <si>
    <t>37,8kg Fiberboard, 5,4kg Block foam, 4,8kg Cotton, 4,8kg Wood, 4,8kg Steel, 2,4kg Polyester, 0,6kg Phosphorous, 0,6kg Plastic per piece</t>
  </si>
  <si>
    <t>Steel, Block foam, Cotton, Wool, Polyester, Coconut fibre, Wood</t>
  </si>
  <si>
    <t>Wool, Polyester, Cotton, Acryl, Viscose, Nylon</t>
  </si>
  <si>
    <t>3,96 kg Wool, 2,178 kg Polyester, 1,188kg Cotton, 1,584kg Acrylic, 0,495kg Viscose, 0,495 kg Nylon per piece</t>
  </si>
  <si>
    <t>Steel, Stainless steel, Cast iron, Copper, Aluminium, Plastic, Rubber, Fibre board, Glass, Textile, Electronics, LCD-glass</t>
  </si>
  <si>
    <t>25,110kg Steel, 5,690kg Stainless steel, 9,280kg Cast iron, 3,006kg Copper, 1,993kg Aluminium, 17,390kg Plastic, 1,940kg Rubber, 2,310kg Fibre board, 2,390kg Glass, 0,530kg Textile, 0,470kg Electronics, 0,020kg LCD-glass per piece</t>
  </si>
  <si>
    <t>Aluminium, Copper, Chromium, Stainless steel, Steel, Galvanized Steel, Rubber, Plastic, Adhesive, Bitumen, Concrete, Cotton, Electronics, Paper, Resins, Thermostat, Wood</t>
  </si>
  <si>
    <t>0,268kg Aluminium, 0,782kg Copper, 0,071kg Chromium, 8,691kg Stainless steel, 18,172kg Steel, 0,403kg Galvanized Steel, 0,524kg Rubber, 8,063kg Plastic, 0,010kg Adhesive, 6,089kg Bitumen, 1,263 kg Concrete, 0,941kg Cotton, 0,448kg Electronics, 0,205kg Paper, 0,120kg Resins, 0,010kg Thermostat, 2,034kg Wood per piece</t>
  </si>
  <si>
    <t>48,098kg</t>
  </si>
  <si>
    <t>0,750kg per piece</t>
  </si>
  <si>
    <t>0,792kg</t>
  </si>
  <si>
    <t>0,286kg, 0,506kg per product</t>
  </si>
  <si>
    <t>0,088kg, 0,022kg</t>
  </si>
  <si>
    <t>0,902kg</t>
  </si>
  <si>
    <t>Sanitary pad, 30p</t>
  </si>
  <si>
    <t>LCA diaper, 22p</t>
  </si>
  <si>
    <t>0,18kg</t>
  </si>
  <si>
    <t>0,12kg, 0,03kg, 0,03kg per unit</t>
  </si>
  <si>
    <t>0,12kg</t>
  </si>
  <si>
    <t>0,3kg</t>
  </si>
  <si>
    <t>ICA Bad &amp; Toalett</t>
  </si>
  <si>
    <t>Kg CO2 ekv per kg</t>
  </si>
  <si>
    <t>Kg CO2 ekv per SEK</t>
  </si>
  <si>
    <t>Land use m2 per kg</t>
  </si>
  <si>
    <t>Land use m2 per SEK</t>
  </si>
  <si>
    <t>Water use litres per SEK</t>
  </si>
  <si>
    <t>Water use litres per kg</t>
  </si>
  <si>
    <t>B020</t>
  </si>
  <si>
    <t>kg CO2 equivalents per kg</t>
  </si>
  <si>
    <t>litres of water per kg</t>
  </si>
  <si>
    <t>m2 of land per kf</t>
  </si>
  <si>
    <t>1,427kg per kg product</t>
  </si>
  <si>
    <t>2,427kg</t>
  </si>
  <si>
    <t>7280.0638</t>
  </si>
  <si>
    <t>Meal, IO analysis based on Hospitality and Food Servies in the Manufacturing file</t>
  </si>
  <si>
    <t>Extra analyses based on information from Statistics Sweden on Hotels and Meals abroad. Results from an multiregional IO analysis.</t>
  </si>
  <si>
    <t>Hotels</t>
  </si>
  <si>
    <t>Meals</t>
  </si>
  <si>
    <t>Trousers, men</t>
  </si>
  <si>
    <t>Jackets, men</t>
  </si>
  <si>
    <t>Code: 0312101a. Trousers, men</t>
  </si>
  <si>
    <t>Code: 0312101b. Jackets, men</t>
  </si>
  <si>
    <t>Code 0312101c. Shirts men</t>
  </si>
  <si>
    <t>Code 0312101d. T-shirt, men</t>
  </si>
  <si>
    <t>Code 0312101e Socks, men</t>
  </si>
  <si>
    <t>Code 0312101f Jeans, men</t>
  </si>
  <si>
    <t>Code: 0312201a. Dresses, women.</t>
  </si>
  <si>
    <t>Code 031220b. Skirts, women</t>
  </si>
  <si>
    <t>Code 031220c. Pants, women</t>
  </si>
  <si>
    <t>Code 031220d. Jackets, women</t>
  </si>
  <si>
    <t>Code 031220e. Sporting clothes women</t>
  </si>
  <si>
    <t>Code 031220f. Blouses, women</t>
  </si>
  <si>
    <t>Code 031220g. T-shirts, women</t>
  </si>
  <si>
    <t>Code 031220h. Underwear, women</t>
  </si>
  <si>
    <t>Code 031220i. Jeans, women</t>
  </si>
  <si>
    <t>Code: 031230a. Childrens pants</t>
  </si>
  <si>
    <t>Code:031230b Childrens pyjamas</t>
  </si>
  <si>
    <t>Cotton 0,8 kg, Viscose0,032 kg, Nylon 0,050 kg, Polyester 0,19 kg</t>
  </si>
  <si>
    <t>Code.031230c: Childrens t-shirt</t>
  </si>
  <si>
    <t>Code.032130d Childrens socks</t>
  </si>
  <si>
    <t>Code: 032130e Baby clothes</t>
  </si>
  <si>
    <t>Code:031310a, cloth, IO analysis</t>
  </si>
  <si>
    <t>Code:031310b. Hats</t>
  </si>
  <si>
    <t>Code: 031310c Scarves</t>
  </si>
  <si>
    <t>Code: 031310d Belts</t>
  </si>
  <si>
    <t>0,141kg tot, 0,93kg Leather, 0,48kg Metal</t>
  </si>
  <si>
    <t>Code: 0314, Cleaning, repairing clothes, IO analysis 1</t>
  </si>
  <si>
    <t>Code: 0314a, Cleaning, repairing clothes, IO analysis 2</t>
  </si>
  <si>
    <t>0321103 Shoes, men</t>
  </si>
  <si>
    <t>Code: 0321203 Shoes Ladies</t>
  </si>
  <si>
    <t>Code:0321303 Shoes children</t>
  </si>
  <si>
    <t>Code: 0322 Shoe repair</t>
  </si>
  <si>
    <t>NISCH PRODUCT</t>
  </si>
  <si>
    <t>Code: N013: Second hand shoes and clothes</t>
  </si>
  <si>
    <t>Europé</t>
  </si>
  <si>
    <t>Code: 0511103a Chairs</t>
  </si>
  <si>
    <t>Pots, vases</t>
  </si>
  <si>
    <t>I/O analyssom nischpraktik, see below</t>
  </si>
  <si>
    <t>Bowl</t>
  </si>
  <si>
    <t>I/O analys som nischpraktik, see below</t>
  </si>
  <si>
    <t>Knives from HM</t>
  </si>
  <si>
    <t>Asia</t>
  </si>
  <si>
    <t>N014</t>
  </si>
  <si>
    <t>N015</t>
  </si>
  <si>
    <t>N016</t>
  </si>
  <si>
    <t>Nischpractices</t>
  </si>
  <si>
    <t>IO analysis</t>
  </si>
  <si>
    <t>Reparing furnishings</t>
  </si>
  <si>
    <t>Renting furnishings</t>
  </si>
  <si>
    <t>I/O analysis</t>
  </si>
  <si>
    <t>Second hand furnishings</t>
  </si>
  <si>
    <t>I/Oanalys</t>
  </si>
  <si>
    <t>Consumerprice per piece etc.</t>
  </si>
  <si>
    <t>Code: 08311010 Wired telephone service</t>
  </si>
  <si>
    <t>Code: 083112 Wireless telephone services</t>
  </si>
  <si>
    <t>Code: 083113 Internet access provision services</t>
  </si>
  <si>
    <t>0,126kg, 0,144 kg, 0,06 kg per pair</t>
  </si>
  <si>
    <t>Veterinary services, I/O analysis</t>
  </si>
  <si>
    <t>0,201 kg</t>
  </si>
  <si>
    <t>Interest expenditures, study loan</t>
  </si>
  <si>
    <t>Cartax, road tax</t>
  </si>
  <si>
    <t>Heat, vacation house</t>
  </si>
  <si>
    <t>Consumerprice per piece, 2016</t>
  </si>
  <si>
    <t>Insurance for pets</t>
  </si>
  <si>
    <t xml:space="preserve">Gifts, COUNTED AS ZERO HERE; IT IS THE RECIEVER WHOSE EXPENDITURES WILL ACCOUNT FOR THIS </t>
  </si>
  <si>
    <t>Repairs on weekend cottages</t>
  </si>
  <si>
    <t>Garbage collection weekend cottages</t>
  </si>
  <si>
    <t>Water and sewage weekend cottages</t>
  </si>
  <si>
    <t>Assumed to be electricity, calculated outside of EAP, see separate Appendix</t>
  </si>
  <si>
    <t>Calculated outside of EAP</t>
  </si>
  <si>
    <t>NISCH practices</t>
  </si>
  <si>
    <t>calculation made outside of EAP</t>
  </si>
  <si>
    <t>calculation made outside of EAP, assumed to be pellets</t>
  </si>
  <si>
    <t>calculation made outside of EAP, assumed to be district heating</t>
  </si>
  <si>
    <t>Package tour in Sweden, 50% renewable fuel</t>
  </si>
  <si>
    <t>Package tour in Sweden, train with hotel</t>
  </si>
  <si>
    <t>Package tour abroad, 50 % renewable fuel</t>
  </si>
  <si>
    <t>Train abroad with hotel</t>
  </si>
  <si>
    <t>Stay at home holyday</t>
  </si>
  <si>
    <t xml:space="preserve">SCB. 2018. Expenditures of an average household in 2012. Identity number for analysis in kolumn A. Products on green rows have been analysed only.                                                                                                                                                           </t>
  </si>
  <si>
    <t>2012, SEK expenditures</t>
  </si>
  <si>
    <t>2016 SEK expenditures</t>
  </si>
  <si>
    <t>I/O analys</t>
  </si>
  <si>
    <t>RECREATION; SPORTS AND CULTURE</t>
  </si>
  <si>
    <t>mostly water</t>
  </si>
  <si>
    <t>Lens cleansing liquid, 355 ml,Apoteket Hjärtat</t>
  </si>
  <si>
    <t>Corrective eye glasses</t>
  </si>
  <si>
    <t>Consumerprice per unit, 2019</t>
  </si>
  <si>
    <t>Consumerprice per unit, 2016</t>
  </si>
  <si>
    <t>Analysis made outside of EAP</t>
  </si>
  <si>
    <t>Diesel with 50% ethanol</t>
  </si>
  <si>
    <t>petrol (85% ethanol from swedish wood)</t>
  </si>
  <si>
    <t>NISCHPRACTICES</t>
  </si>
  <si>
    <t>Combined trip</t>
  </si>
  <si>
    <t>Taxi</t>
  </si>
  <si>
    <t>Busticket</t>
  </si>
  <si>
    <t>Trainticket</t>
  </si>
  <si>
    <t xml:space="preserve">I/O analysis </t>
  </si>
  <si>
    <t>Other tranaportaion services</t>
  </si>
  <si>
    <t>Belgium/Germany</t>
  </si>
  <si>
    <t>8,16kg rubber, 1,53kg steel, 0,612kg textile (synthetic)</t>
  </si>
  <si>
    <t>Rubber, steel, fabric (synthetic)</t>
  </si>
  <si>
    <t>Car tyre</t>
  </si>
  <si>
    <t>Taiwan</t>
  </si>
  <si>
    <t>7,54kg aluminium, 4,11kg steel, 2,01kg stainless steel, 0,56kg rubber, 2,24kg plastic, 0,03kg block foam, 0,5kg electronics</t>
  </si>
  <si>
    <t>Aluminium, steel, stainless steel, rubber, plastic, block foam, electronics</t>
  </si>
  <si>
    <t>Bicycle</t>
  </si>
  <si>
    <t>91,92kg steel for machinery, 1,352kg copper, 0,161kg chromium, 0,0937 nickel, 15kg aluminium, 25,05kg plastic, 15,3kg synthetic rubber, 0,87kg lead</t>
  </si>
  <si>
    <t>Steel for machining, copper, chromium, nickel, aluminium, plastic, synthetic rubber, lead</t>
  </si>
  <si>
    <t>Scooter</t>
  </si>
  <si>
    <t>Motor cycles, mopeds, scooters</t>
  </si>
  <si>
    <t>736,1kg steel for machining, 97,4kg aluminium, 127,2kg plastic, 40,9kg glass, 6,7kg polyester fabric, 54kg rubber, 25,2 kg copper, 0,9kg lead, 10,3kg multi-material components, 48,8kg electronics</t>
  </si>
  <si>
    <t>Steel for machining, aluminium, plastic, glass, polyester fabric, rubber, copper, lead, multi-material component, electronics</t>
  </si>
  <si>
    <t>VW GolfMK6</t>
  </si>
  <si>
    <t>Consumer taxes %</t>
  </si>
  <si>
    <t>Transport weight, KG</t>
  </si>
  <si>
    <t>Waater use litres per kg</t>
  </si>
  <si>
    <t>Soft bread</t>
  </si>
  <si>
    <t>Plastic 6 g</t>
  </si>
  <si>
    <t>0,012 kg per kg</t>
  </si>
  <si>
    <t>Durum wheat flour</t>
  </si>
  <si>
    <t>0,91 kg durum wheat flour per kg product</t>
  </si>
  <si>
    <t>ICA Fusilli basilika och ricotta, 0,3 kg</t>
  </si>
  <si>
    <t>Pasta (Durumvete) (56%), Basilika (11%), Olivolja (9%), Bechamelsås (Vetemjöl, smör, mjölk, ost, vetefiber ), Ricotta (3%), grated cheese (4%)</t>
  </si>
  <si>
    <t>Pasta 0,56 kg, olive oil 0,09 kg, cheese 0,07 kg and sunflower oil 0,02 kg</t>
  </si>
  <si>
    <t>Sugar 28%, rapeseed oil 26%, wheat flour 16%, egg 12%.</t>
  </si>
  <si>
    <t>0,28 kg sugar. 0,26 kg rape seed oil, 0,16 kg wheat flour and 0,12 kg egg.</t>
  </si>
  <si>
    <t>0,038kg, 0,011 kg per kg product</t>
  </si>
  <si>
    <t>Sweet cake</t>
  </si>
  <si>
    <t xml:space="preserve"> ICA stenugnsbakad pizza Capricciosa</t>
  </si>
  <si>
    <t>29% wheat flour, 16% tomato puree, 14 % ham, 21% cheese, muschrooms 9 %, rape seed oil 3%.</t>
  </si>
  <si>
    <t>0,29 kg wheat flour, 0,16 kg tomato puree, 0,14 kg ham, 0,2 kg cheese and 0,03 kg rape seed oil</t>
  </si>
  <si>
    <t>0,78 kg oat flour and 0,09 kg of sugar per kg</t>
  </si>
  <si>
    <t>paper 77 g and 10 g plastic</t>
  </si>
  <si>
    <t>0,22 kg paper and 0,029 kg plastic per kg</t>
  </si>
  <si>
    <t>1362, 0739</t>
  </si>
  <si>
    <t xml:space="preserve"> 01121a</t>
  </si>
  <si>
    <t>File</t>
  </si>
  <si>
    <t>1 kg of file</t>
  </si>
  <si>
    <t xml:space="preserve"> 01121b</t>
  </si>
  <si>
    <t>Minced meat</t>
  </si>
  <si>
    <t>1 kg of minced meat</t>
  </si>
  <si>
    <t>Plastic for a 500 gram package</t>
  </si>
  <si>
    <t xml:space="preserve"> 01121c</t>
  </si>
  <si>
    <t>Steak</t>
  </si>
  <si>
    <t>1 kg of steak</t>
  </si>
  <si>
    <t xml:space="preserve"> 01121d</t>
  </si>
  <si>
    <t>Beef no bones</t>
  </si>
  <si>
    <t>1 kg of beef no bones</t>
  </si>
  <si>
    <t>01122a</t>
  </si>
  <si>
    <t xml:space="preserve">Tenderloin </t>
  </si>
  <si>
    <t>1 kg of tenderloin</t>
  </si>
  <si>
    <t>01122b</t>
  </si>
  <si>
    <t>01122c</t>
  </si>
  <si>
    <t>Pork no bones</t>
  </si>
  <si>
    <t>1 kg of pork no bones</t>
  </si>
  <si>
    <t xml:space="preserve">1 kg of lamb meat bone in </t>
  </si>
  <si>
    <t>New Zealand</t>
  </si>
  <si>
    <t>1 kg of broiler carcass f which 16 % are bones</t>
  </si>
  <si>
    <t>1 kg of bacon</t>
  </si>
  <si>
    <t>55% pig meat, potatoe starch 6%, pig fat 6% and beef 5%. Water 24%.</t>
  </si>
  <si>
    <t>0,61 kg pork meat boneless and 0,05 kg beef boneless</t>
  </si>
  <si>
    <t>8 grams of plastic for 500 grams of sausages</t>
  </si>
  <si>
    <t>0,027 kg per kg product</t>
  </si>
  <si>
    <t>58.5686</t>
  </si>
  <si>
    <t>0,170 kg of beef no bones, 0,113 kg of carrots and 0,4 kg of potatoes</t>
  </si>
  <si>
    <t>For 0,4 kg of edible products there was 0,069 kg of paper and some plastic in a verysmall amount.</t>
  </si>
  <si>
    <t>paper</t>
  </si>
  <si>
    <t>Frozen cod fillets Findus</t>
  </si>
  <si>
    <t>cod</t>
  </si>
  <si>
    <t>Packaged and filleted in China.</t>
  </si>
  <si>
    <t>For 0.4 kg of cod there was 0,015 kg of paper and 0.004 kg of plastic.</t>
  </si>
  <si>
    <t>0,0375 kg of paper and 0,01 kg of plastics</t>
  </si>
  <si>
    <t>Frozen salmon fillets Xtra</t>
  </si>
  <si>
    <t>salmon</t>
  </si>
  <si>
    <t>VÄG</t>
  </si>
  <si>
    <t>Flatfish</t>
  </si>
  <si>
    <t>Hälleflundra Royal Greenland, frozen</t>
  </si>
  <si>
    <t>Only 10 % of the fish is not used</t>
  </si>
  <si>
    <t>flatfish</t>
  </si>
  <si>
    <t>Harbour in western Greenland where the fish is prepared. Distance from Greenland to Denmark is 2617 NM which is 4847 km.</t>
  </si>
  <si>
    <t>Frozen shrimps no shell Axfood Seafood from Norway</t>
  </si>
  <si>
    <t>250 grams of shrimps with shells give 100 grams of shrimps witihout shells</t>
  </si>
  <si>
    <t>shrimps</t>
  </si>
  <si>
    <t>Produced in Norway</t>
  </si>
  <si>
    <t>For 0.4 kg shrimps there was 0.008 kg of plastics.</t>
  </si>
  <si>
    <t>plastic</t>
  </si>
  <si>
    <t>Abbas French onion sill</t>
  </si>
  <si>
    <t>Herring constitutes 50 % of the weight and onions 9% and sugar 19%.</t>
  </si>
  <si>
    <t>Sugar 0,19 kg, onions 0,01 kg and herring 1 kg.</t>
  </si>
  <si>
    <t>For 0,240 kg of product there is 0,009 kg of metal and 0,07 kg of glass</t>
  </si>
  <si>
    <t>0,0375 kg metal and 0,175 kg glass</t>
  </si>
  <si>
    <t>Cod roe 52%, rapeseed oil 33% and sugar 12%</t>
  </si>
  <si>
    <t>1,23 kg cod, 0,33 kg rape seed oil and 0,12 kg sugar</t>
  </si>
  <si>
    <t>0,015 kg metal and 0,001 kg plastic for 0,190 kg of kaviar.</t>
  </si>
  <si>
    <t>0,079 kg metal per kg product and 0,005 kg plastic per kg product.</t>
  </si>
  <si>
    <t>ICA Fiskgratäng dillsås fryst 350 g</t>
  </si>
  <si>
    <t>Mashed potaoes 50 %, fish 26%, sauce of water, cream powder etc 24%.</t>
  </si>
  <si>
    <t>0,4 kg potatoes, 0,08 kg milk, 0,010 kg butter, 0,62 kg cod (gutted with head) and 0,12 kg cream</t>
  </si>
  <si>
    <t>Paper 17 gram for 350 grams of product. Plastic 16 grams for the same product</t>
  </si>
  <si>
    <t>0,05 kg paper per kg product and 0,047 kg plastic</t>
  </si>
  <si>
    <t>milk</t>
  </si>
  <si>
    <t>Milk from cow skimmed</t>
  </si>
  <si>
    <t>0,034 kg carton  0,001kg plastic per kg product</t>
  </si>
  <si>
    <t>193.7905</t>
  </si>
  <si>
    <t xml:space="preserve">Milk full from cow, sugar 9%, raspberries 8% </t>
  </si>
  <si>
    <t>0,08 kg of strawberries, 0,09 kg of sugar and 0,832 kg milk from cow per kg product</t>
  </si>
  <si>
    <t>204, 5895</t>
  </si>
  <si>
    <t>Milk fulll from cow</t>
  </si>
  <si>
    <t>Cheese</t>
  </si>
  <si>
    <t>1 kg per kg product</t>
  </si>
  <si>
    <t>Plastic 6 grams</t>
  </si>
  <si>
    <t>Skimmed milk from cow, 3,5 liters litres per kg of kvarg</t>
  </si>
  <si>
    <t>6,5 kg per kg product</t>
  </si>
  <si>
    <t>Ängens  creme fraiche 2dl</t>
  </si>
  <si>
    <t>Cream and full milk</t>
  </si>
  <si>
    <t>0,85 kg cream and 0,15 kg full milk</t>
  </si>
  <si>
    <t>2 kg per kg product</t>
  </si>
  <si>
    <t>Paper 7 gram</t>
  </si>
  <si>
    <t>Butter, water and rapeseed oil 32%.</t>
  </si>
  <si>
    <t>0,320 kg rape seed oil and 0,75 kg butter.</t>
  </si>
  <si>
    <t>0,016kg, 0,043kg per kg product</t>
  </si>
  <si>
    <t>Margarin, not liquid</t>
  </si>
  <si>
    <t xml:space="preserve"> Water (45 %), palmoil ( 21%), rapeseed oil (18 %), full milk (10 %), </t>
  </si>
  <si>
    <t>0,12 kg palm oil, 0,18 kg rape seed oil and full milk 0.1 kg per kg product</t>
  </si>
  <si>
    <t>Oliveoil</t>
  </si>
  <si>
    <t>Fontana olivolja Classico</t>
  </si>
  <si>
    <t>5 kg of olives per litre of oil</t>
  </si>
  <si>
    <t>5 kg of olives per kg oil</t>
  </si>
  <si>
    <t>Glass 509 g, metal 4g</t>
  </si>
  <si>
    <t>01161a</t>
  </si>
  <si>
    <t>Oranges from Spain</t>
  </si>
  <si>
    <t>1 kg of oranges per kg product</t>
  </si>
  <si>
    <t>Plastic bag 5 g</t>
  </si>
  <si>
    <t>0,005 kg plastic per kg product</t>
  </si>
  <si>
    <t>01161b</t>
  </si>
  <si>
    <t>Oranges from South Africa</t>
  </si>
  <si>
    <t>South Africa</t>
  </si>
  <si>
    <t>Bananas from Central America</t>
  </si>
  <si>
    <t>1 kg of bananas per kg product</t>
  </si>
  <si>
    <t>Central America</t>
  </si>
  <si>
    <t>01163a</t>
  </si>
  <si>
    <t>Apples from Sweden</t>
  </si>
  <si>
    <t>1 kg of apples per kg product</t>
  </si>
  <si>
    <t>01163b</t>
  </si>
  <si>
    <t>Apples from Italy</t>
  </si>
  <si>
    <t>Stone fruits fresh or chilled</t>
  </si>
  <si>
    <t>Mango</t>
  </si>
  <si>
    <t>1 kg of mangos per kg product</t>
  </si>
  <si>
    <t>Brasil</t>
  </si>
  <si>
    <t>0116601a</t>
  </si>
  <si>
    <t>Strawberries in heated greenhouses</t>
  </si>
  <si>
    <t>1 kg of strawberries in heated greenhouse per kg of product</t>
  </si>
  <si>
    <t>Belgium</t>
  </si>
  <si>
    <t>One paper box of 16 grams for 440 g of strawberries</t>
  </si>
  <si>
    <t>kg paper per kg product</t>
  </si>
  <si>
    <t>0116601b</t>
  </si>
  <si>
    <t>Strawberries on the open ground</t>
  </si>
  <si>
    <t>1 kg of strawberries on the open ground per kg of product</t>
  </si>
  <si>
    <t>0116602a</t>
  </si>
  <si>
    <t>Grapes from Italy</t>
  </si>
  <si>
    <t>1 kg of grapes per kg of product</t>
  </si>
  <si>
    <t>18 g of plastic for 500 g of grapes</t>
  </si>
  <si>
    <t>plastic per kg product</t>
  </si>
  <si>
    <t>0116602b</t>
  </si>
  <si>
    <t>Grapes from South Africa</t>
  </si>
  <si>
    <t>Jordnötter salta OLW</t>
  </si>
  <si>
    <t>95% of the content is peanuts. 75% of peanuts in shells are peanuts</t>
  </si>
  <si>
    <t>1,27 kg of peanuts with shells per kg of product</t>
  </si>
  <si>
    <t>5 grams of plastic for 165 g of peanuts</t>
  </si>
  <si>
    <t>Frozen broccoli ICA basic</t>
  </si>
  <si>
    <t>1 kg of broccoli per kg of product</t>
  </si>
  <si>
    <t>Portugal</t>
  </si>
  <si>
    <t>14 grams of plastic for 1 kg of brocolli</t>
  </si>
  <si>
    <t>Cale. Fresh</t>
  </si>
  <si>
    <t>1 kg of cale per kg of product</t>
  </si>
  <si>
    <t>Tomatoes, three analyses</t>
  </si>
  <si>
    <t>01173a</t>
  </si>
  <si>
    <t>Tomater</t>
  </si>
  <si>
    <t>Tomatoes</t>
  </si>
  <si>
    <t>Tomatoes from Spain</t>
  </si>
  <si>
    <t>1 kg of tomato per kg product</t>
  </si>
  <si>
    <t>01173b</t>
  </si>
  <si>
    <t>Tomatoes from the Netherlands</t>
  </si>
  <si>
    <t>Netheröands</t>
  </si>
  <si>
    <t>01173c</t>
  </si>
  <si>
    <t>Tomatoes from Sweden</t>
  </si>
  <si>
    <t>Carrots</t>
  </si>
  <si>
    <t>1 kg of carrot per kg product</t>
  </si>
  <si>
    <t>Daucy majskorn 150 g</t>
  </si>
  <si>
    <t>Corn on cob, 206 g of corn for 483 g of cob with corn on. Multiply the corn with 2,34 to get corn on cobs. One can contains 93% corn according to the label</t>
  </si>
  <si>
    <t>kg of corn per kg product</t>
  </si>
  <si>
    <t>Metal 56 g per 150 g of product</t>
  </si>
  <si>
    <t>kg metal</t>
  </si>
  <si>
    <t>Potatoes from Sweden</t>
  </si>
  <si>
    <t>1 kg of potatoes for 1 kg of product</t>
  </si>
  <si>
    <t>Potatoechips</t>
  </si>
  <si>
    <t>OLW växtkustchips 189 gram</t>
  </si>
  <si>
    <t>Potoes, sunflower oil, rape seed oil</t>
  </si>
  <si>
    <t>4 kg of potatoes and 0,32 kg of oil per kg of product</t>
  </si>
  <si>
    <t>11 g of plastic for 180 grams of product</t>
  </si>
  <si>
    <t>kg plastics per kg product</t>
  </si>
  <si>
    <t>Dansocker 1 kg</t>
  </si>
  <si>
    <t>1 kg of sugar per kg of product</t>
  </si>
  <si>
    <t>Danmark</t>
  </si>
  <si>
    <t>10 g of paper for 1 kg of product</t>
  </si>
  <si>
    <t>0,010 kg of paper per kg of product</t>
  </si>
  <si>
    <t>Dark chocolate</t>
  </si>
  <si>
    <t>37% cocoa products (cocoa butter and cocoa liqur), 52% sugar</t>
  </si>
  <si>
    <t>0,37 kg cocoa butter etc and 0,52 kg sugar per kg product</t>
  </si>
  <si>
    <t>2 g per 100 g of product</t>
  </si>
  <si>
    <t>kg plastic per kg product</t>
  </si>
  <si>
    <t>Sugar confectionary</t>
  </si>
  <si>
    <t xml:space="preserve">Fruit juice concentrate 3,4 %, glucose syrup 27 %, sugar 36 % </t>
  </si>
  <si>
    <t>Orange concentrate 0,034 kg, glucose syrup 0,27 kg and sugar 0,36 kg per kg product</t>
  </si>
  <si>
    <t>14 g per paper bag when buying plockgodis</t>
  </si>
  <si>
    <t>0,014 paper per kg product</t>
  </si>
  <si>
    <t>ICAS gräddglass vanilj, 0,9 kg</t>
  </si>
  <si>
    <t>0,31 kg scimmed milk, 0,27 kg cream,0,13 kg glucose syrup and 0,06 kg sugar per kg product</t>
  </si>
  <si>
    <t>0,063 kg of plastics for 0,9 kg ice cream</t>
  </si>
  <si>
    <t>0,07 kg plastics per kg product</t>
  </si>
  <si>
    <t>ICAS bearnessås original 200 g</t>
  </si>
  <si>
    <t>Rape seed oil 77%, egg yolk 5,5%</t>
  </si>
  <si>
    <t>0,77 kg rape seed oil and 0,055 kg of eggs per kg of product</t>
  </si>
  <si>
    <t>12 grams of plastics for 200 grams of product</t>
  </si>
  <si>
    <t>kg plastic</t>
  </si>
  <si>
    <t>Yest, Kronjäst 50 g</t>
  </si>
  <si>
    <t>1 kg of yeast for 1 kg of product</t>
  </si>
  <si>
    <t>1 g pf paper per 50 g of product</t>
  </si>
  <si>
    <t>kg paper</t>
  </si>
  <si>
    <t>ICA s spinach soup with bacon 425 g</t>
  </si>
  <si>
    <t>0,28 kg spinach, 0,1 kg milk, 0,07 kg onion, 0,05 kg cream,0,025 kg rape seed oil and 0,015 kg bacon per kg of product</t>
  </si>
  <si>
    <t>22 g of plastic for 425 g of product</t>
  </si>
  <si>
    <t>Löfbergs lila Mellanrost bryggkaffe. Arabica.</t>
  </si>
  <si>
    <t>1, 2 kg of green beans for 1 kg of roasted coffee</t>
  </si>
  <si>
    <t>South and central America, Africa. Arabica.</t>
  </si>
  <si>
    <t>0,018 kg plastic per kg product</t>
  </si>
  <si>
    <t>Lipton Yellow label, tea bags, 25 pack. Each bag contains 2 g of tea.</t>
  </si>
  <si>
    <t>1 kg of dried tea lives for 1 kg of product</t>
  </si>
  <si>
    <t>Africa Asia for the tea. Packaging in Poland.</t>
  </si>
  <si>
    <t>1 g plastic+15 g paper+ 0,5 g paper* 25+ 2,5 g paper *25 per packet of 25 bags</t>
  </si>
  <si>
    <t>0,02 kg plastic per kg product and 1,8 kg of paper</t>
  </si>
  <si>
    <t>Loka naturell 50 cl</t>
  </si>
  <si>
    <t>1 kg of water per kg of product</t>
  </si>
  <si>
    <t>14 g plastic</t>
  </si>
  <si>
    <t>kg of plastic per kg of product</t>
  </si>
  <si>
    <t>ICAS cola, 1,5 litre</t>
  </si>
  <si>
    <t>7,2 % sugar and 92,5% water</t>
  </si>
  <si>
    <t>47 grams of plastics for 1,5 kg of cola</t>
  </si>
  <si>
    <t>Orange juice God Morgon 1 litre</t>
  </si>
  <si>
    <t xml:space="preserve">0,180 kg orange concentrate </t>
  </si>
  <si>
    <t>54 g paper</t>
  </si>
  <si>
    <t>kg of paper per kg product</t>
  </si>
  <si>
    <t>N001</t>
  </si>
  <si>
    <t>Tofu</t>
  </si>
  <si>
    <t>YiPin Tofu 400g</t>
  </si>
  <si>
    <t>Tofu 1 kg per kg</t>
  </si>
  <si>
    <t>Plastic 7 g</t>
  </si>
  <si>
    <t>N002</t>
  </si>
  <si>
    <t>Vegetarian pieces (1)</t>
  </si>
  <si>
    <t>Anamma vegobullar, 900 g</t>
  </si>
  <si>
    <t>Soyaprotein 22 %, rape seed oil 10%</t>
  </si>
  <si>
    <t>Soya protein 0,22 kg per kg, rape seed oil 0,1 kg per kg</t>
  </si>
  <si>
    <t>Plastic 12 g</t>
  </si>
  <si>
    <t>N003</t>
  </si>
  <si>
    <t xml:space="preserve">Vegetarian pieces (2) </t>
  </si>
  <si>
    <t>Findus pulled peas, 250 g</t>
  </si>
  <si>
    <t>Pea protein 23%, rape seed oil 6%.</t>
  </si>
  <si>
    <t>Pea protein 0,23 kg per kg, rape seed oil 0,09 kg per kg.</t>
  </si>
  <si>
    <t>Paper 26 g, plastic 7 g</t>
  </si>
  <si>
    <t>0,140 kg paper, 0,0280 kg plastics</t>
  </si>
  <si>
    <t>N004</t>
  </si>
  <si>
    <t>Oat milk</t>
  </si>
  <si>
    <t>Oatly I kaffe, 1 litre</t>
  </si>
  <si>
    <t>Oat 10%, rape seed oil 3%.</t>
  </si>
  <si>
    <t>Oat 0,1 kg per kg, rape seed oil 0,03 kg per kg</t>
  </si>
  <si>
    <t>44 g per litre of milk, 1 g of plastics</t>
  </si>
  <si>
    <t>0,044 kg of paper per kg, 0,001 kg of plastics</t>
  </si>
  <si>
    <t>N005</t>
  </si>
  <si>
    <t>Soya milk</t>
  </si>
  <si>
    <t>Alpro soya unsweetened, 1 l</t>
  </si>
  <si>
    <t>Soya beans 8,7%</t>
  </si>
  <si>
    <t>Soya beans 0,087 kg per kg</t>
  </si>
  <si>
    <t>19 g paper, 2 g plastic</t>
  </si>
  <si>
    <t>0,019 kg paper and 0,002 kg plastics</t>
  </si>
  <si>
    <t>N006</t>
  </si>
  <si>
    <t>I/O analys of education</t>
  </si>
  <si>
    <t>N007</t>
  </si>
  <si>
    <t>N008</t>
  </si>
  <si>
    <t>N009</t>
  </si>
  <si>
    <t>N010</t>
  </si>
  <si>
    <t>Viiolife vegan cheese 400 g</t>
  </si>
  <si>
    <t>Coconut oil 0.23 kg per kg product</t>
  </si>
  <si>
    <t>Greece</t>
  </si>
  <si>
    <t>N011</t>
  </si>
  <si>
    <t>Carrots 50 km from the consumer</t>
  </si>
  <si>
    <t xml:space="preserve">1 kg of carrot per kg </t>
  </si>
  <si>
    <t>Nearby, 50 km</t>
  </si>
  <si>
    <t>No packagng used. If used it is also reused</t>
  </si>
  <si>
    <t>N012</t>
  </si>
  <si>
    <t>Lettuce within walking distance from the consumer</t>
  </si>
  <si>
    <t>1 kg lettuce grown indoors</t>
  </si>
  <si>
    <t>0 km</t>
  </si>
  <si>
    <t>Transport weight, kg</t>
  </si>
  <si>
    <t>Allocation</t>
  </si>
  <si>
    <t xml:space="preserve">Litres of water per kg </t>
  </si>
  <si>
    <t>m2 land per kg</t>
  </si>
  <si>
    <t>Rye grains</t>
  </si>
  <si>
    <t>B001</t>
  </si>
  <si>
    <t>none</t>
  </si>
  <si>
    <t>Wheat grains</t>
  </si>
  <si>
    <t>B002</t>
  </si>
  <si>
    <t>Oat grains</t>
  </si>
  <si>
    <t>B003</t>
  </si>
  <si>
    <t xml:space="preserve">Palm oil </t>
  </si>
  <si>
    <t>Palm fruit</t>
  </si>
  <si>
    <t>B004</t>
  </si>
  <si>
    <t>Sugar beets</t>
  </si>
  <si>
    <t>B005</t>
  </si>
  <si>
    <t xml:space="preserve">Olive oil </t>
  </si>
  <si>
    <t>Olives</t>
  </si>
  <si>
    <t>B006</t>
  </si>
  <si>
    <t xml:space="preserve">Rape seed oil </t>
  </si>
  <si>
    <t>Rape seeds</t>
  </si>
  <si>
    <t>B007</t>
  </si>
  <si>
    <t>60 % to the oil</t>
  </si>
  <si>
    <t>Salmon, head on gutted</t>
  </si>
  <si>
    <t>Whole salmon</t>
  </si>
  <si>
    <t>B008</t>
  </si>
  <si>
    <t>Pasta</t>
  </si>
  <si>
    <t>B009</t>
  </si>
  <si>
    <t>Sunflower oil</t>
  </si>
  <si>
    <t>Sun flower seeds</t>
  </si>
  <si>
    <t>Ukraina</t>
  </si>
  <si>
    <t>B010</t>
  </si>
  <si>
    <t>Glucose-fructose syrup</t>
  </si>
  <si>
    <t>B011</t>
  </si>
  <si>
    <t>Tomatoe puree</t>
  </si>
  <si>
    <t>B012</t>
  </si>
  <si>
    <t>Potatoe powder</t>
  </si>
  <si>
    <t>B013</t>
  </si>
  <si>
    <t>Concentrated oranges</t>
  </si>
  <si>
    <t>Oranges</t>
  </si>
  <si>
    <t>B014</t>
  </si>
  <si>
    <t xml:space="preserve">Sojaprotein </t>
  </si>
  <si>
    <t>Soya beans</t>
  </si>
  <si>
    <t>EU</t>
  </si>
  <si>
    <t>B015</t>
  </si>
  <si>
    <t>Peaprotein</t>
  </si>
  <si>
    <t>Green peas</t>
  </si>
  <si>
    <t>B016</t>
  </si>
  <si>
    <t>Cocoa butter etc.</t>
  </si>
  <si>
    <t>Cocoa beans, dried</t>
  </si>
  <si>
    <t>Cote Ivoir</t>
  </si>
  <si>
    <t>B017</t>
  </si>
  <si>
    <t>Coconut oil</t>
  </si>
  <si>
    <t>Coconut</t>
  </si>
  <si>
    <t>B018</t>
  </si>
  <si>
    <t>Indoor veggies Sweden</t>
  </si>
  <si>
    <t>Lettuce</t>
  </si>
  <si>
    <t>B019</t>
  </si>
  <si>
    <t>https://www.indiamart.com/proddetail/quick-oats-flakes-8845723812.html</t>
  </si>
  <si>
    <t>Calculation of how to go from consumer price to producer price for food</t>
  </si>
  <si>
    <t>Margin in retail, %</t>
  </si>
  <si>
    <t>VAT on food, %</t>
  </si>
  <si>
    <t>Multiplicator for consumer price to reach producer price</t>
  </si>
  <si>
    <t xml:space="preserve">Loteries etc. </t>
  </si>
  <si>
    <t>Hotel</t>
  </si>
  <si>
    <t>Goods produced in Sweden</t>
  </si>
  <si>
    <t>Distance, km</t>
  </si>
  <si>
    <t>Vehicle</t>
  </si>
  <si>
    <t>Comment</t>
  </si>
  <si>
    <t>Lorry, &gt;32 T Euro6</t>
  </si>
  <si>
    <t>With or without cooling and freezing depending on the goods</t>
  </si>
  <si>
    <t>lorry, 7,5-16 T Euro6</t>
  </si>
  <si>
    <t>Goods produced in Western Europé</t>
  </si>
  <si>
    <t>Goods produced in Southern Europé</t>
  </si>
  <si>
    <t>Goods produced outside of Europé</t>
  </si>
  <si>
    <t>Container ship or transoceanic ship</t>
  </si>
  <si>
    <t>Plane, intercontinental</t>
  </si>
  <si>
    <t>Basic goods produced outside Europé and manufactured inside Europé</t>
  </si>
  <si>
    <t>Basic goods produced and manufactured inside Europé</t>
  </si>
  <si>
    <t>Basic goods produced and manufactured inside Sweden</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</si>
</sst>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 #,###,##0"/>
    <numFmt numFmtId="168" formatCode="\±\ #,###,##0.0"/>
    <numFmt numFmtId="169" formatCode="\±\ #,###,##0.00"/>
    <numFmt numFmtId="170" formatCode="\±\ #,###,##0.000"/>
    <numFmt numFmtId="171" formatCode="\±\ #,###,##0.0000"/>
    <numFmt numFmtId="172" formatCode="\±\ #,###,##0.00000"/>
    <numFmt numFmtId="173" formatCode="\±\ #,###,##0.000000"/>
    <numFmt numFmtId="174" formatCode="\±\ #,###,##0.0000000"/>
    <numFmt numFmtId="175" formatCode="\±\ #,###,##0.00000000"/>
    <numFmt numFmtId="176" formatCode="000\ 00"/>
    <numFmt numFmtId="177" formatCode="[$-41D]dddd\ d\ mmmm\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0.000%"/>
    <numFmt numFmtId="185" formatCode="0.0000"/>
    <numFmt numFmtId="186" formatCode="0.00000"/>
    <numFmt numFmtId="187" formatCode="#,##0.0000\ _k_r"/>
    <numFmt numFmtId="188" formatCode="#,##0.0000"/>
    <numFmt numFmtId="189" formatCode="#,##0.000"/>
  </numFmts>
  <fonts count="58">
    <font>
      <sz val="10"/>
      <name val="Arial"/>
      <family val="0"/>
    </font>
    <font>
      <b/>
      <sz val="10"/>
      <name val="Arial"/>
      <family val="2"/>
    </font>
    <font>
      <sz val="8"/>
      <name val="Arial"/>
      <family val="2"/>
    </font>
    <font>
      <sz val="7"/>
      <name val="Arial"/>
      <family val="2"/>
    </font>
    <font>
      <u val="single"/>
      <sz val="10"/>
      <color indexed="12"/>
      <name val="Arial"/>
      <family val="2"/>
    </font>
    <font>
      <u val="single"/>
      <sz val="10"/>
      <color indexed="36"/>
      <name val="Arial"/>
      <family val="2"/>
    </font>
    <font>
      <sz val="18"/>
      <name val="Arial"/>
      <family val="2"/>
    </font>
    <font>
      <sz val="16"/>
      <name val="Arial"/>
      <family val="2"/>
    </font>
    <font>
      <sz val="10"/>
      <color indexed="8"/>
      <name val="Tahoma"/>
      <family val="2"/>
    </font>
    <font>
      <b/>
      <sz val="10"/>
      <color indexed="8"/>
      <name val="Tahoma"/>
      <family val="2"/>
    </font>
    <font>
      <b/>
      <sz val="9"/>
      <color indexed="8"/>
      <name val="Tahoma"/>
      <family val="2"/>
    </font>
    <font>
      <sz val="9"/>
      <color indexed="8"/>
      <name val="Tahoma"/>
      <family val="2"/>
    </font>
    <font>
      <sz val="10"/>
      <color indexed="8"/>
      <name val="Arial"/>
      <family val="2"/>
    </font>
    <font>
      <b/>
      <sz val="12"/>
      <name val="Arial"/>
      <family val="2"/>
    </font>
    <font>
      <sz val="12"/>
      <name val="Arial"/>
      <family val="2"/>
    </font>
    <font>
      <sz val="9"/>
      <name val="Tahoma"/>
      <family val="2"/>
    </font>
    <font>
      <b/>
      <sz val="9"/>
      <name val="Tahoma"/>
      <family val="2"/>
    </font>
    <font>
      <b/>
      <sz val="11"/>
      <name val="Arial"/>
      <family val="2"/>
    </font>
    <font>
      <sz val="11"/>
      <name val="Arial"/>
      <family val="2"/>
    </font>
    <font>
      <sz val="11"/>
      <name val="Calibri"/>
      <family val="2"/>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ahoma"/>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4" tint="-0.24997000396251678"/>
        <bgColor indexed="64"/>
      </patternFill>
    </fill>
    <fill>
      <patternFill patternType="solid">
        <fgColor rgb="FFFF000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54">
    <xf numFmtId="0" fontId="0" fillId="0" borderId="0" xfId="0" applyAlignment="1">
      <alignment/>
    </xf>
    <xf numFmtId="0" fontId="1" fillId="0" borderId="0" xfId="0" applyFont="1" applyAlignment="1">
      <alignment/>
    </xf>
    <xf numFmtId="49" fontId="0" fillId="0" borderId="0" xfId="0" applyNumberFormat="1" applyFont="1" applyBorder="1" applyAlignment="1">
      <alignment horizontal="left" wrapText="1"/>
    </xf>
    <xf numFmtId="0" fontId="0" fillId="0" borderId="0" xfId="0" applyFont="1" applyBorder="1" applyAlignment="1">
      <alignment/>
    </xf>
    <xf numFmtId="0" fontId="1" fillId="0" borderId="0" xfId="0" applyFont="1" applyFill="1" applyBorder="1" applyAlignment="1">
      <alignment horizontal="left" wrapText="1"/>
    </xf>
    <xf numFmtId="0" fontId="0" fillId="0" borderId="0" xfId="0" applyFont="1" applyFill="1" applyBorder="1" applyAlignment="1">
      <alignment horizontal="left"/>
    </xf>
    <xf numFmtId="49" fontId="1"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0" fontId="0" fillId="0" borderId="0" xfId="0" applyFont="1" applyFill="1" applyBorder="1" applyAlignment="1">
      <alignment/>
    </xf>
    <xf numFmtId="0" fontId="1" fillId="33" borderId="0" xfId="0" applyFont="1" applyFill="1" applyBorder="1" applyAlignment="1">
      <alignment horizontal="left" wrapText="1"/>
    </xf>
    <xf numFmtId="0" fontId="0" fillId="33" borderId="0" xfId="0" applyFont="1" applyFill="1" applyBorder="1" applyAlignment="1">
      <alignment/>
    </xf>
    <xf numFmtId="49" fontId="0" fillId="33" borderId="0" xfId="0" applyNumberFormat="1" applyFont="1" applyFill="1" applyBorder="1" applyAlignment="1">
      <alignment horizontal="left" wrapText="1"/>
    </xf>
    <xf numFmtId="0" fontId="0" fillId="0" borderId="0" xfId="0" applyNumberFormat="1" applyFont="1" applyBorder="1" applyAlignment="1">
      <alignment horizontal="right" vertical="top"/>
    </xf>
    <xf numFmtId="0" fontId="0" fillId="33" borderId="0" xfId="0" applyFill="1" applyAlignment="1">
      <alignment/>
    </xf>
    <xf numFmtId="0" fontId="0" fillId="0" borderId="0" xfId="0" applyFill="1" applyAlignment="1">
      <alignment/>
    </xf>
    <xf numFmtId="0" fontId="0" fillId="33" borderId="0" xfId="0" applyFont="1" applyFill="1" applyBorder="1" applyAlignment="1">
      <alignment horizontal="left"/>
    </xf>
    <xf numFmtId="0" fontId="0" fillId="33" borderId="0" xfId="0" applyFont="1" applyFill="1" applyAlignment="1">
      <alignment/>
    </xf>
    <xf numFmtId="0" fontId="0" fillId="0" borderId="0" xfId="0" applyFont="1" applyAlignment="1">
      <alignment/>
    </xf>
    <xf numFmtId="9" fontId="1" fillId="0" borderId="0" xfId="60" applyFont="1" applyAlignment="1">
      <alignment/>
    </xf>
    <xf numFmtId="9" fontId="0" fillId="0" borderId="0" xfId="60" applyFont="1" applyAlignment="1">
      <alignment/>
    </xf>
    <xf numFmtId="0" fontId="1" fillId="0" borderId="0" xfId="0" applyFont="1" applyAlignment="1">
      <alignment/>
    </xf>
    <xf numFmtId="0" fontId="13" fillId="34" borderId="0" xfId="0" applyFont="1" applyFill="1" applyBorder="1" applyAlignment="1">
      <alignment horizontal="left" wrapText="1"/>
    </xf>
    <xf numFmtId="49" fontId="13" fillId="34" borderId="0" xfId="0" applyNumberFormat="1" applyFont="1" applyFill="1" applyBorder="1" applyAlignment="1">
      <alignment horizontal="left" wrapText="1"/>
    </xf>
    <xf numFmtId="3" fontId="13" fillId="34" borderId="0" xfId="0" applyNumberFormat="1" applyFont="1" applyFill="1" applyBorder="1" applyAlignment="1">
      <alignment horizontal="right"/>
    </xf>
    <xf numFmtId="0" fontId="13" fillId="34" borderId="0" xfId="0" applyFont="1" applyFill="1" applyBorder="1" applyAlignment="1">
      <alignment/>
    </xf>
    <xf numFmtId="3" fontId="0" fillId="0" borderId="0" xfId="0" applyNumberFormat="1" applyFont="1" applyBorder="1" applyAlignment="1">
      <alignment horizontal="right"/>
    </xf>
    <xf numFmtId="3" fontId="0" fillId="33"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3" fillId="35" borderId="0" xfId="0" applyFont="1" applyFill="1" applyAlignment="1">
      <alignment/>
    </xf>
    <xf numFmtId="0" fontId="1" fillId="35" borderId="0" xfId="0" applyFont="1" applyFill="1" applyBorder="1" applyAlignment="1">
      <alignment horizontal="left" wrapText="1"/>
    </xf>
    <xf numFmtId="0" fontId="0" fillId="35" borderId="0" xfId="0" applyFont="1" applyFill="1" applyBorder="1" applyAlignment="1">
      <alignment/>
    </xf>
    <xf numFmtId="49" fontId="0" fillId="35" borderId="0" xfId="0" applyNumberFormat="1" applyFont="1" applyFill="1" applyBorder="1" applyAlignment="1">
      <alignment horizontal="left" wrapText="1"/>
    </xf>
    <xf numFmtId="3" fontId="0" fillId="35" borderId="0" xfId="0" applyNumberFormat="1" applyFont="1" applyFill="1" applyBorder="1" applyAlignment="1">
      <alignment horizontal="right"/>
    </xf>
    <xf numFmtId="0" fontId="0" fillId="35" borderId="0" xfId="0" applyFill="1" applyAlignment="1">
      <alignment/>
    </xf>
    <xf numFmtId="0" fontId="1" fillId="36" borderId="0" xfId="0" applyFont="1" applyFill="1" applyBorder="1" applyAlignment="1">
      <alignment horizontal="left" wrapText="1"/>
    </xf>
    <xf numFmtId="0" fontId="0" fillId="36" borderId="0" xfId="0" applyFont="1" applyFill="1" applyBorder="1" applyAlignment="1">
      <alignment/>
    </xf>
    <xf numFmtId="49" fontId="0" fillId="36" borderId="0" xfId="0" applyNumberFormat="1" applyFont="1" applyFill="1" applyBorder="1" applyAlignment="1">
      <alignment horizontal="left" wrapText="1"/>
    </xf>
    <xf numFmtId="3" fontId="0" fillId="36" borderId="0" xfId="0" applyNumberFormat="1" applyFont="1" applyFill="1" applyBorder="1" applyAlignment="1">
      <alignment horizontal="right"/>
    </xf>
    <xf numFmtId="0" fontId="0" fillId="36" borderId="0" xfId="0" applyFill="1" applyAlignment="1">
      <alignment/>
    </xf>
    <xf numFmtId="0" fontId="0" fillId="0" borderId="0" xfId="0" applyFont="1" applyFill="1" applyAlignment="1">
      <alignment/>
    </xf>
    <xf numFmtId="9" fontId="0" fillId="0" borderId="0" xfId="60" applyFont="1" applyFill="1" applyAlignment="1">
      <alignment/>
    </xf>
    <xf numFmtId="2" fontId="0" fillId="0" borderId="0" xfId="0" applyNumberFormat="1" applyAlignment="1">
      <alignment/>
    </xf>
    <xf numFmtId="0" fontId="0" fillId="35" borderId="0" xfId="0" applyFont="1" applyFill="1" applyBorder="1" applyAlignment="1">
      <alignment horizontal="left"/>
    </xf>
    <xf numFmtId="0" fontId="0" fillId="36" borderId="0" xfId="0" applyFont="1" applyFill="1" applyBorder="1" applyAlignment="1">
      <alignment horizontal="left"/>
    </xf>
    <xf numFmtId="49" fontId="1" fillId="33" borderId="0" xfId="0" applyNumberFormat="1" applyFont="1" applyFill="1" applyBorder="1" applyAlignment="1">
      <alignment horizontal="left" wrapText="1"/>
    </xf>
    <xf numFmtId="9" fontId="0" fillId="33" borderId="0" xfId="60" applyFont="1" applyFill="1" applyAlignment="1">
      <alignment/>
    </xf>
    <xf numFmtId="9" fontId="0" fillId="35" borderId="0" xfId="60" applyFont="1" applyFill="1" applyAlignment="1">
      <alignment/>
    </xf>
    <xf numFmtId="9" fontId="0" fillId="36" borderId="0" xfId="60" applyFont="1" applyFill="1" applyAlignment="1">
      <alignment/>
    </xf>
    <xf numFmtId="9" fontId="0" fillId="36" borderId="0" xfId="60" applyFont="1" applyFill="1" applyAlignment="1">
      <alignment/>
    </xf>
    <xf numFmtId="6" fontId="0" fillId="33" borderId="0" xfId="0" applyNumberFormat="1" applyFill="1" applyAlignment="1">
      <alignment/>
    </xf>
    <xf numFmtId="0" fontId="0" fillId="37" borderId="0" xfId="0" applyFill="1" applyAlignment="1">
      <alignment/>
    </xf>
    <xf numFmtId="185" fontId="13" fillId="0" borderId="0" xfId="0" applyNumberFormat="1" applyFont="1" applyAlignment="1">
      <alignment horizontal="left" wrapText="1"/>
    </xf>
    <xf numFmtId="185" fontId="13" fillId="0" borderId="0" xfId="0" applyNumberFormat="1" applyFont="1" applyAlignment="1">
      <alignment wrapText="1"/>
    </xf>
    <xf numFmtId="185" fontId="0" fillId="0" borderId="0" xfId="0" applyNumberFormat="1" applyAlignment="1">
      <alignment/>
    </xf>
    <xf numFmtId="0" fontId="0" fillId="35" borderId="0" xfId="0" applyFont="1" applyFill="1" applyAlignment="1">
      <alignment/>
    </xf>
    <xf numFmtId="182" fontId="0" fillId="0" borderId="0" xfId="0" applyNumberFormat="1" applyAlignment="1">
      <alignment/>
    </xf>
    <xf numFmtId="2" fontId="13" fillId="0" borderId="0" xfId="0" applyNumberFormat="1" applyFont="1" applyAlignment="1">
      <alignment horizontal="left" wrapText="1"/>
    </xf>
    <xf numFmtId="2" fontId="0" fillId="33" borderId="0" xfId="0" applyNumberFormat="1" applyFill="1" applyAlignment="1">
      <alignment/>
    </xf>
    <xf numFmtId="2" fontId="0" fillId="33" borderId="0" xfId="0" applyNumberFormat="1" applyFont="1" applyFill="1" applyAlignment="1">
      <alignment/>
    </xf>
    <xf numFmtId="0" fontId="13" fillId="33" borderId="0" xfId="0" applyFont="1" applyFill="1" applyAlignment="1">
      <alignment/>
    </xf>
    <xf numFmtId="2" fontId="0" fillId="35" borderId="0" xfId="0" applyNumberFormat="1" applyFill="1" applyAlignment="1">
      <alignment/>
    </xf>
    <xf numFmtId="2" fontId="0" fillId="36" borderId="0" xfId="0" applyNumberFormat="1" applyFill="1" applyAlignment="1">
      <alignment/>
    </xf>
    <xf numFmtId="185" fontId="0" fillId="33" borderId="0" xfId="0" applyNumberFormat="1" applyFill="1" applyAlignment="1">
      <alignment/>
    </xf>
    <xf numFmtId="185" fontId="0" fillId="35" borderId="0" xfId="0" applyNumberFormat="1" applyFill="1" applyAlignment="1">
      <alignment/>
    </xf>
    <xf numFmtId="185" fontId="0" fillId="36" borderId="0" xfId="0" applyNumberFormat="1" applyFill="1" applyAlignment="1">
      <alignment/>
    </xf>
    <xf numFmtId="0" fontId="1" fillId="38" borderId="0" xfId="0" applyFont="1" applyFill="1" applyBorder="1" applyAlignment="1">
      <alignment horizontal="left" wrapText="1"/>
    </xf>
    <xf numFmtId="0" fontId="0" fillId="38" borderId="0" xfId="0" applyFont="1" applyFill="1" applyBorder="1" applyAlignment="1">
      <alignment horizontal="left"/>
    </xf>
    <xf numFmtId="49" fontId="0" fillId="38" borderId="0" xfId="0" applyNumberFormat="1" applyFont="1" applyFill="1" applyBorder="1" applyAlignment="1">
      <alignment horizontal="left" wrapText="1"/>
    </xf>
    <xf numFmtId="0" fontId="0" fillId="38" borderId="0" xfId="0" applyFont="1" applyFill="1" applyBorder="1" applyAlignment="1">
      <alignment/>
    </xf>
    <xf numFmtId="3" fontId="0" fillId="38" borderId="0" xfId="0" applyNumberFormat="1" applyFont="1" applyFill="1" applyBorder="1" applyAlignment="1">
      <alignment horizontal="right"/>
    </xf>
    <xf numFmtId="0" fontId="0" fillId="38" borderId="0" xfId="0" applyFont="1" applyFill="1" applyAlignment="1">
      <alignment/>
    </xf>
    <xf numFmtId="0" fontId="0" fillId="38" borderId="0" xfId="0" applyFill="1" applyAlignment="1">
      <alignment/>
    </xf>
    <xf numFmtId="9" fontId="0" fillId="38" borderId="0" xfId="60" applyFont="1" applyFill="1" applyAlignment="1">
      <alignment/>
    </xf>
    <xf numFmtId="1" fontId="0" fillId="33" borderId="0" xfId="60" applyNumberFormat="1" applyFont="1" applyFill="1" applyAlignment="1">
      <alignment/>
    </xf>
    <xf numFmtId="0" fontId="14" fillId="0" borderId="0" xfId="0" applyFont="1" applyAlignment="1">
      <alignment/>
    </xf>
    <xf numFmtId="185" fontId="0" fillId="37" borderId="0" xfId="0" applyNumberFormat="1" applyFont="1" applyFill="1" applyAlignment="1">
      <alignment/>
    </xf>
    <xf numFmtId="185" fontId="7" fillId="37" borderId="0" xfId="0" applyNumberFormat="1" applyFont="1" applyFill="1" applyAlignment="1">
      <alignment/>
    </xf>
    <xf numFmtId="185" fontId="0" fillId="37" borderId="0" xfId="0" applyNumberFormat="1" applyFill="1" applyAlignment="1">
      <alignment/>
    </xf>
    <xf numFmtId="185" fontId="0" fillId="37" borderId="0" xfId="60" applyNumberFormat="1" applyFont="1" applyFill="1" applyAlignment="1">
      <alignment/>
    </xf>
    <xf numFmtId="0" fontId="17" fillId="0" borderId="0" xfId="0" applyFont="1" applyBorder="1" applyAlignment="1">
      <alignment horizontal="right" wrapText="1"/>
    </xf>
    <xf numFmtId="0" fontId="17" fillId="0" borderId="0" xfId="0" applyFont="1" applyAlignment="1">
      <alignment/>
    </xf>
    <xf numFmtId="9" fontId="17" fillId="0" borderId="0" xfId="60" applyFont="1" applyAlignment="1">
      <alignment/>
    </xf>
    <xf numFmtId="185" fontId="17" fillId="0" borderId="0" xfId="0" applyNumberFormat="1" applyFont="1" applyAlignment="1">
      <alignment horizontal="left" wrapText="1"/>
    </xf>
    <xf numFmtId="185" fontId="17" fillId="0" borderId="0" xfId="0" applyNumberFormat="1" applyFont="1" applyAlignment="1">
      <alignment wrapText="1"/>
    </xf>
    <xf numFmtId="0" fontId="18" fillId="0" borderId="0" xfId="0" applyFont="1" applyAlignment="1">
      <alignment/>
    </xf>
    <xf numFmtId="0" fontId="17" fillId="34" borderId="0" xfId="0" applyFont="1" applyFill="1" applyBorder="1" applyAlignment="1">
      <alignment horizontal="left" wrapText="1"/>
    </xf>
    <xf numFmtId="0" fontId="17" fillId="34" borderId="0" xfId="0" applyFont="1" applyFill="1" applyBorder="1" applyAlignment="1">
      <alignment/>
    </xf>
    <xf numFmtId="49" fontId="17" fillId="34" borderId="0" xfId="0" applyNumberFormat="1" applyFont="1" applyFill="1" applyBorder="1" applyAlignment="1">
      <alignment horizontal="left" wrapText="1"/>
    </xf>
    <xf numFmtId="0" fontId="17" fillId="34" borderId="0" xfId="0" applyFont="1" applyFill="1" applyBorder="1" applyAlignment="1">
      <alignment wrapText="1"/>
    </xf>
    <xf numFmtId="3" fontId="17" fillId="34" borderId="0" xfId="0" applyNumberFormat="1" applyFont="1" applyFill="1" applyBorder="1" applyAlignment="1">
      <alignment horizontal="right"/>
    </xf>
    <xf numFmtId="0" fontId="17" fillId="34" borderId="0" xfId="0" applyNumberFormat="1" applyFont="1" applyFill="1" applyBorder="1" applyAlignment="1">
      <alignment horizontal="right" vertical="top"/>
    </xf>
    <xf numFmtId="167" fontId="17" fillId="34" borderId="0" xfId="0" applyNumberFormat="1" applyFont="1" applyFill="1" applyBorder="1" applyAlignment="1">
      <alignment horizontal="right" vertical="top"/>
    </xf>
    <xf numFmtId="9" fontId="17" fillId="34" borderId="0" xfId="60" applyFont="1" applyFill="1" applyBorder="1" applyAlignment="1">
      <alignment horizontal="right" vertical="top"/>
    </xf>
    <xf numFmtId="185" fontId="17" fillId="34" borderId="0" xfId="0" applyNumberFormat="1" applyFont="1" applyFill="1" applyBorder="1" applyAlignment="1">
      <alignment/>
    </xf>
    <xf numFmtId="185" fontId="17" fillId="34" borderId="0" xfId="0" applyNumberFormat="1" applyFont="1" applyFill="1" applyBorder="1" applyAlignment="1">
      <alignment horizontal="right" vertical="top"/>
    </xf>
    <xf numFmtId="0" fontId="17" fillId="0" borderId="0" xfId="0" applyFont="1" applyFill="1" applyBorder="1" applyAlignment="1">
      <alignment horizontal="left" wrapText="1"/>
    </xf>
    <xf numFmtId="0" fontId="18" fillId="0" borderId="0" xfId="0" applyFont="1" applyBorder="1" applyAlignment="1">
      <alignment/>
    </xf>
    <xf numFmtId="49" fontId="18" fillId="0" borderId="0" xfId="0" applyNumberFormat="1" applyFont="1" applyFill="1" applyBorder="1" applyAlignment="1">
      <alignment horizontal="left" wrapText="1"/>
    </xf>
    <xf numFmtId="0" fontId="18" fillId="0" borderId="0" xfId="0" applyFont="1" applyBorder="1" applyAlignment="1">
      <alignment wrapText="1"/>
    </xf>
    <xf numFmtId="3" fontId="18" fillId="0" borderId="0" xfId="0" applyNumberFormat="1" applyFont="1" applyBorder="1" applyAlignment="1">
      <alignment horizontal="right"/>
    </xf>
    <xf numFmtId="0" fontId="18" fillId="0" borderId="0" xfId="0" applyNumberFormat="1" applyFont="1" applyBorder="1" applyAlignment="1">
      <alignment horizontal="right" vertical="top"/>
    </xf>
    <xf numFmtId="167" fontId="18" fillId="0" borderId="0" xfId="0" applyNumberFormat="1" applyFont="1" applyBorder="1" applyAlignment="1">
      <alignment horizontal="right" vertical="top"/>
    </xf>
    <xf numFmtId="9" fontId="18" fillId="0" borderId="0" xfId="60" applyFont="1" applyBorder="1" applyAlignment="1">
      <alignment horizontal="right" vertical="top"/>
    </xf>
    <xf numFmtId="185" fontId="18" fillId="0" borderId="0" xfId="0" applyNumberFormat="1" applyFont="1" applyBorder="1" applyAlignment="1">
      <alignment/>
    </xf>
    <xf numFmtId="185" fontId="18" fillId="0" borderId="0" xfId="0" applyNumberFormat="1" applyFont="1" applyBorder="1" applyAlignment="1">
      <alignment horizontal="right" vertical="top"/>
    </xf>
    <xf numFmtId="0" fontId="17" fillId="35" borderId="0" xfId="0" applyFont="1" applyFill="1" applyBorder="1" applyAlignment="1">
      <alignment horizontal="left" wrapText="1"/>
    </xf>
    <xf numFmtId="0" fontId="17" fillId="35" borderId="0" xfId="0" applyFont="1" applyFill="1" applyBorder="1" applyAlignment="1">
      <alignment/>
    </xf>
    <xf numFmtId="49" fontId="17" fillId="35" borderId="0" xfId="0" applyNumberFormat="1" applyFont="1" applyFill="1" applyBorder="1" applyAlignment="1">
      <alignment horizontal="left" wrapText="1"/>
    </xf>
    <xf numFmtId="0" fontId="17" fillId="35" borderId="0" xfId="0" applyFont="1" applyFill="1" applyBorder="1" applyAlignment="1">
      <alignment wrapText="1"/>
    </xf>
    <xf numFmtId="3" fontId="17" fillId="35" borderId="0" xfId="0" applyNumberFormat="1" applyFont="1" applyFill="1" applyBorder="1" applyAlignment="1">
      <alignment horizontal="right"/>
    </xf>
    <xf numFmtId="0" fontId="17" fillId="35" borderId="0" xfId="0" applyNumberFormat="1" applyFont="1" applyFill="1" applyBorder="1" applyAlignment="1">
      <alignment horizontal="right" vertical="top"/>
    </xf>
    <xf numFmtId="167" fontId="17" fillId="35" borderId="0" xfId="0" applyNumberFormat="1" applyFont="1" applyFill="1" applyBorder="1" applyAlignment="1">
      <alignment horizontal="right" vertical="top"/>
    </xf>
    <xf numFmtId="9" fontId="17" fillId="35" borderId="0" xfId="60" applyFont="1" applyFill="1" applyBorder="1" applyAlignment="1">
      <alignment horizontal="right" vertical="top"/>
    </xf>
    <xf numFmtId="185" fontId="17" fillId="35" borderId="0" xfId="0" applyNumberFormat="1" applyFont="1" applyFill="1" applyBorder="1" applyAlignment="1">
      <alignment/>
    </xf>
    <xf numFmtId="185" fontId="17" fillId="35" borderId="0" xfId="0" applyNumberFormat="1" applyFont="1" applyFill="1" applyBorder="1" applyAlignment="1">
      <alignment horizontal="right" vertical="top"/>
    </xf>
    <xf numFmtId="0" fontId="17" fillId="33" borderId="0" xfId="0" applyFont="1" applyFill="1" applyBorder="1" applyAlignment="1">
      <alignment horizontal="left" wrapText="1"/>
    </xf>
    <xf numFmtId="0" fontId="18" fillId="33" borderId="0" xfId="0" applyFont="1" applyFill="1" applyBorder="1" applyAlignment="1">
      <alignment/>
    </xf>
    <xf numFmtId="49" fontId="18" fillId="33" borderId="0" xfId="0" applyNumberFormat="1" applyFont="1" applyFill="1" applyBorder="1" applyAlignment="1">
      <alignment horizontal="left" wrapText="1"/>
    </xf>
    <xf numFmtId="0" fontId="18" fillId="33" borderId="0" xfId="0" applyFont="1" applyFill="1" applyBorder="1" applyAlignment="1">
      <alignment wrapText="1"/>
    </xf>
    <xf numFmtId="3" fontId="18" fillId="33" borderId="0" xfId="0" applyNumberFormat="1" applyFont="1" applyFill="1" applyBorder="1" applyAlignment="1">
      <alignment horizontal="right"/>
    </xf>
    <xf numFmtId="0" fontId="18" fillId="33" borderId="0" xfId="0" applyNumberFormat="1" applyFont="1" applyFill="1" applyBorder="1" applyAlignment="1">
      <alignment horizontal="right" vertical="top"/>
    </xf>
    <xf numFmtId="9" fontId="18" fillId="33" borderId="0" xfId="60" applyFont="1" applyFill="1" applyBorder="1" applyAlignment="1">
      <alignment horizontal="right" vertical="top"/>
    </xf>
    <xf numFmtId="167" fontId="18" fillId="33" borderId="0" xfId="0" applyNumberFormat="1" applyFont="1" applyFill="1" applyBorder="1" applyAlignment="1">
      <alignment horizontal="right" vertical="top"/>
    </xf>
    <xf numFmtId="185" fontId="18" fillId="33" borderId="0" xfId="0" applyNumberFormat="1" applyFont="1" applyFill="1" applyBorder="1" applyAlignment="1">
      <alignment/>
    </xf>
    <xf numFmtId="49" fontId="18" fillId="0" borderId="0" xfId="0" applyNumberFormat="1" applyFont="1" applyBorder="1" applyAlignment="1">
      <alignment horizontal="left" wrapText="1"/>
    </xf>
    <xf numFmtId="0" fontId="18" fillId="0" borderId="0" xfId="60" applyNumberFormat="1" applyFont="1" applyBorder="1" applyAlignment="1">
      <alignment horizontal="right" vertical="top"/>
    </xf>
    <xf numFmtId="0" fontId="18" fillId="0" borderId="0" xfId="0" applyNumberFormat="1" applyFont="1" applyFill="1" applyBorder="1" applyAlignment="1">
      <alignment horizontal="right" vertical="top"/>
    </xf>
    <xf numFmtId="9" fontId="18" fillId="0" borderId="0" xfId="60" applyFont="1" applyFill="1" applyBorder="1" applyAlignment="1">
      <alignment horizontal="right" vertical="top"/>
    </xf>
    <xf numFmtId="166" fontId="18" fillId="0" borderId="0" xfId="0" applyNumberFormat="1" applyFont="1" applyBorder="1" applyAlignment="1">
      <alignment horizontal="right" vertical="top"/>
    </xf>
    <xf numFmtId="10" fontId="18" fillId="0" borderId="0" xfId="60" applyNumberFormat="1" applyFont="1" applyBorder="1" applyAlignment="1">
      <alignment horizontal="right" vertical="top"/>
    </xf>
    <xf numFmtId="185" fontId="18" fillId="0" borderId="0" xfId="0" applyNumberFormat="1" applyFont="1" applyAlignment="1">
      <alignment/>
    </xf>
    <xf numFmtId="0" fontId="17" fillId="20" borderId="0" xfId="0" applyFont="1" applyFill="1" applyBorder="1" applyAlignment="1">
      <alignment/>
    </xf>
    <xf numFmtId="3" fontId="17" fillId="20" borderId="0" xfId="0" applyNumberFormat="1" applyFont="1" applyFill="1" applyBorder="1" applyAlignment="1">
      <alignment horizontal="right"/>
    </xf>
    <xf numFmtId="2" fontId="17" fillId="20" borderId="0" xfId="0" applyNumberFormat="1" applyFont="1" applyFill="1" applyBorder="1" applyAlignment="1">
      <alignment/>
    </xf>
    <xf numFmtId="185" fontId="17" fillId="20" borderId="0" xfId="0" applyNumberFormat="1" applyFont="1" applyFill="1" applyBorder="1" applyAlignment="1">
      <alignment/>
    </xf>
    <xf numFmtId="185" fontId="17" fillId="20" borderId="0" xfId="0" applyNumberFormat="1" applyFont="1" applyFill="1" applyBorder="1" applyAlignment="1">
      <alignment horizontal="right"/>
    </xf>
    <xf numFmtId="0" fontId="17" fillId="33" borderId="0" xfId="0" applyFont="1" applyFill="1" applyBorder="1" applyAlignment="1">
      <alignment/>
    </xf>
    <xf numFmtId="3" fontId="17" fillId="33" borderId="0" xfId="0" applyNumberFormat="1" applyFont="1" applyFill="1" applyBorder="1" applyAlignment="1">
      <alignment horizontal="right"/>
    </xf>
    <xf numFmtId="2" fontId="17" fillId="33" borderId="0" xfId="0" applyNumberFormat="1" applyFont="1" applyFill="1" applyBorder="1" applyAlignment="1">
      <alignment/>
    </xf>
    <xf numFmtId="185" fontId="17" fillId="33" borderId="0" xfId="0" applyNumberFormat="1" applyFont="1" applyFill="1" applyBorder="1" applyAlignment="1">
      <alignment/>
    </xf>
    <xf numFmtId="185" fontId="17" fillId="33" borderId="0" xfId="0" applyNumberFormat="1" applyFont="1" applyFill="1" applyBorder="1" applyAlignment="1">
      <alignment horizontal="right"/>
    </xf>
    <xf numFmtId="0" fontId="18" fillId="33" borderId="0" xfId="0" applyFont="1" applyFill="1" applyAlignment="1">
      <alignment/>
    </xf>
    <xf numFmtId="0" fontId="18" fillId="33" borderId="0" xfId="0" applyFont="1" applyFill="1" applyAlignment="1">
      <alignment horizontal="left"/>
    </xf>
    <xf numFmtId="185" fontId="18" fillId="33" borderId="0" xfId="0" applyNumberFormat="1" applyFont="1" applyFill="1" applyAlignment="1">
      <alignment/>
    </xf>
    <xf numFmtId="0" fontId="18" fillId="0" borderId="0" xfId="0" applyFont="1" applyFill="1" applyAlignment="1">
      <alignment/>
    </xf>
    <xf numFmtId="2" fontId="18" fillId="33" borderId="0" xfId="0" applyNumberFormat="1" applyFont="1" applyFill="1" applyBorder="1" applyAlignment="1">
      <alignment/>
    </xf>
    <xf numFmtId="2" fontId="18" fillId="33" borderId="0" xfId="0" applyNumberFormat="1" applyFont="1" applyFill="1" applyBorder="1" applyAlignment="1">
      <alignment horizontal="right" vertical="top"/>
    </xf>
    <xf numFmtId="2" fontId="18" fillId="0" borderId="0" xfId="0" applyNumberFormat="1" applyFont="1" applyBorder="1" applyAlignment="1">
      <alignment horizontal="right" vertical="top"/>
    </xf>
    <xf numFmtId="2" fontId="17" fillId="35" borderId="0" xfId="0" applyNumberFormat="1" applyFont="1" applyFill="1" applyBorder="1" applyAlignment="1">
      <alignment horizontal="right" vertical="top"/>
    </xf>
    <xf numFmtId="185" fontId="18" fillId="33" borderId="0" xfId="0" applyNumberFormat="1" applyFont="1" applyFill="1" applyBorder="1" applyAlignment="1">
      <alignment horizontal="left"/>
    </xf>
    <xf numFmtId="185" fontId="18" fillId="33" borderId="0" xfId="0" applyNumberFormat="1" applyFont="1" applyFill="1" applyBorder="1" applyAlignment="1">
      <alignment horizontal="left" vertical="top"/>
    </xf>
    <xf numFmtId="185" fontId="18" fillId="0" borderId="0" xfId="0" applyNumberFormat="1" applyFont="1" applyBorder="1" applyAlignment="1">
      <alignment horizontal="left"/>
    </xf>
    <xf numFmtId="185" fontId="18" fillId="0" borderId="0" xfId="0" applyNumberFormat="1" applyFont="1" applyBorder="1" applyAlignment="1">
      <alignment horizontal="left" vertical="top"/>
    </xf>
    <xf numFmtId="185" fontId="17" fillId="35" borderId="0" xfId="0" applyNumberFormat="1" applyFont="1" applyFill="1" applyBorder="1" applyAlignment="1">
      <alignment horizontal="left"/>
    </xf>
    <xf numFmtId="185" fontId="17" fillId="35" borderId="0" xfId="0" applyNumberFormat="1" applyFont="1" applyFill="1" applyBorder="1" applyAlignment="1">
      <alignment horizontal="left" vertical="top"/>
    </xf>
    <xf numFmtId="0" fontId="14" fillId="34" borderId="0" xfId="0" applyFont="1" applyFill="1" applyAlignment="1">
      <alignment/>
    </xf>
    <xf numFmtId="0" fontId="18" fillId="34" borderId="0" xfId="0" applyFont="1" applyFill="1" applyBorder="1" applyAlignment="1">
      <alignment/>
    </xf>
    <xf numFmtId="0" fontId="18" fillId="34" borderId="0" xfId="0" applyFont="1" applyFill="1" applyAlignment="1">
      <alignment/>
    </xf>
    <xf numFmtId="0" fontId="18" fillId="35" borderId="0" xfId="0" applyFont="1" applyFill="1" applyBorder="1" applyAlignment="1">
      <alignment/>
    </xf>
    <xf numFmtId="49" fontId="18" fillId="35" borderId="0" xfId="0" applyNumberFormat="1" applyFont="1" applyFill="1" applyBorder="1" applyAlignment="1">
      <alignment horizontal="left" wrapText="1"/>
    </xf>
    <xf numFmtId="0" fontId="18" fillId="35" borderId="0" xfId="0" applyFont="1" applyFill="1" applyBorder="1" applyAlignment="1">
      <alignment wrapText="1"/>
    </xf>
    <xf numFmtId="3" fontId="18" fillId="35" borderId="0" xfId="0" applyNumberFormat="1" applyFont="1" applyFill="1" applyBorder="1" applyAlignment="1">
      <alignment horizontal="right"/>
    </xf>
    <xf numFmtId="0" fontId="18" fillId="35" borderId="0" xfId="0" applyFont="1" applyFill="1" applyAlignment="1">
      <alignment/>
    </xf>
    <xf numFmtId="0" fontId="17" fillId="36" borderId="0" xfId="0" applyFont="1" applyFill="1" applyBorder="1" applyAlignment="1">
      <alignment horizontal="left" wrapText="1"/>
    </xf>
    <xf numFmtId="0" fontId="18" fillId="36" borderId="0" xfId="0" applyFont="1" applyFill="1" applyBorder="1" applyAlignment="1">
      <alignment/>
    </xf>
    <xf numFmtId="49" fontId="18" fillId="36" borderId="0" xfId="0" applyNumberFormat="1" applyFont="1" applyFill="1" applyBorder="1" applyAlignment="1">
      <alignment horizontal="left" wrapText="1"/>
    </xf>
    <xf numFmtId="0" fontId="18" fillId="36" borderId="0" xfId="0" applyFont="1" applyFill="1" applyBorder="1" applyAlignment="1">
      <alignment wrapText="1"/>
    </xf>
    <xf numFmtId="3" fontId="18" fillId="36" borderId="0" xfId="0" applyNumberFormat="1" applyFont="1" applyFill="1" applyBorder="1" applyAlignment="1">
      <alignment horizontal="right"/>
    </xf>
    <xf numFmtId="0" fontId="18" fillId="36" borderId="0" xfId="0" applyFont="1" applyFill="1" applyAlignment="1">
      <alignment/>
    </xf>
    <xf numFmtId="0" fontId="18" fillId="0" borderId="0" xfId="0" applyFont="1" applyFill="1" applyBorder="1" applyAlignment="1">
      <alignment/>
    </xf>
    <xf numFmtId="0" fontId="18" fillId="0" borderId="0" xfId="0" applyFont="1" applyFill="1" applyBorder="1" applyAlignment="1">
      <alignment wrapText="1"/>
    </xf>
    <xf numFmtId="3" fontId="18" fillId="0" borderId="0" xfId="0" applyNumberFormat="1" applyFont="1" applyFill="1" applyBorder="1" applyAlignment="1">
      <alignment horizontal="right"/>
    </xf>
    <xf numFmtId="9" fontId="18" fillId="33" borderId="0" xfId="60" applyFont="1" applyFill="1" applyAlignment="1">
      <alignment/>
    </xf>
    <xf numFmtId="49" fontId="17" fillId="0" borderId="0" xfId="0" applyNumberFormat="1" applyFont="1" applyFill="1" applyBorder="1" applyAlignment="1">
      <alignment horizontal="left" wrapText="1"/>
    </xf>
    <xf numFmtId="9" fontId="18" fillId="33" borderId="0" xfId="0" applyNumberFormat="1" applyFont="1" applyFill="1" applyAlignment="1">
      <alignment/>
    </xf>
    <xf numFmtId="0" fontId="56" fillId="0" borderId="0" xfId="0" applyFont="1" applyAlignment="1">
      <alignment horizontal="left" vertical="center" readingOrder="1"/>
    </xf>
    <xf numFmtId="0" fontId="17" fillId="37" borderId="0" xfId="0" applyFont="1" applyFill="1" applyBorder="1" applyAlignment="1">
      <alignment horizontal="left" wrapText="1"/>
    </xf>
    <xf numFmtId="0" fontId="18" fillId="37" borderId="0" xfId="0" applyFont="1" applyFill="1" applyBorder="1" applyAlignment="1">
      <alignment/>
    </xf>
    <xf numFmtId="49" fontId="18" fillId="37" borderId="0" xfId="0" applyNumberFormat="1" applyFont="1" applyFill="1" applyBorder="1" applyAlignment="1">
      <alignment horizontal="left" wrapText="1"/>
    </xf>
    <xf numFmtId="0" fontId="18" fillId="37" borderId="0" xfId="0" applyFont="1" applyFill="1" applyBorder="1" applyAlignment="1">
      <alignment wrapText="1"/>
    </xf>
    <xf numFmtId="3" fontId="18" fillId="37" borderId="0" xfId="0" applyNumberFormat="1" applyFont="1" applyFill="1" applyBorder="1" applyAlignment="1">
      <alignment horizontal="right"/>
    </xf>
    <xf numFmtId="0" fontId="18" fillId="37" borderId="0" xfId="0" applyFont="1" applyFill="1" applyAlignment="1">
      <alignment/>
    </xf>
    <xf numFmtId="1" fontId="18" fillId="33" borderId="0" xfId="0" applyNumberFormat="1" applyFont="1" applyFill="1" applyAlignment="1">
      <alignment/>
    </xf>
    <xf numFmtId="185" fontId="18" fillId="34" borderId="0" xfId="0" applyNumberFormat="1" applyFont="1" applyFill="1" applyAlignment="1">
      <alignment/>
    </xf>
    <xf numFmtId="185" fontId="18" fillId="35" borderId="0" xfId="0" applyNumberFormat="1" applyFont="1" applyFill="1" applyAlignment="1">
      <alignment/>
    </xf>
    <xf numFmtId="185" fontId="18" fillId="36" borderId="0" xfId="0" applyNumberFormat="1" applyFont="1" applyFill="1" applyAlignment="1">
      <alignment/>
    </xf>
    <xf numFmtId="185" fontId="18" fillId="0" borderId="0" xfId="0" applyNumberFormat="1" applyFont="1" applyFill="1" applyAlignment="1">
      <alignment/>
    </xf>
    <xf numFmtId="185" fontId="18" fillId="37" borderId="0" xfId="0" applyNumberFormat="1" applyFont="1" applyFill="1" applyAlignment="1">
      <alignment/>
    </xf>
    <xf numFmtId="0" fontId="17" fillId="35" borderId="0" xfId="0" applyFont="1" applyFill="1" applyAlignment="1">
      <alignment/>
    </xf>
    <xf numFmtId="185" fontId="17" fillId="33" borderId="0" xfId="0" applyNumberFormat="1" applyFont="1" applyFill="1" applyBorder="1" applyAlignment="1">
      <alignment horizontal="left" wrapText="1"/>
    </xf>
    <xf numFmtId="185" fontId="18" fillId="33" borderId="0" xfId="0" applyNumberFormat="1" applyFont="1" applyFill="1" applyBorder="1" applyAlignment="1">
      <alignment horizontal="left" wrapText="1"/>
    </xf>
    <xf numFmtId="185" fontId="18" fillId="33" borderId="0" xfId="0" applyNumberFormat="1" applyFont="1" applyFill="1" applyBorder="1" applyAlignment="1">
      <alignment wrapText="1"/>
    </xf>
    <xf numFmtId="1" fontId="18" fillId="33" borderId="0" xfId="0" applyNumberFormat="1" applyFont="1" applyFill="1" applyBorder="1" applyAlignment="1">
      <alignment horizontal="right"/>
    </xf>
    <xf numFmtId="0" fontId="18" fillId="0" borderId="0" xfId="0" applyFont="1" applyBorder="1" applyAlignment="1">
      <alignment horizontal="left"/>
    </xf>
    <xf numFmtId="0" fontId="18" fillId="33" borderId="0" xfId="0" applyFont="1" applyFill="1" applyBorder="1" applyAlignment="1">
      <alignment horizontal="left"/>
    </xf>
    <xf numFmtId="0" fontId="18" fillId="0" borderId="0" xfId="0" applyFont="1" applyFill="1" applyBorder="1" applyAlignment="1">
      <alignment horizontal="left"/>
    </xf>
    <xf numFmtId="3" fontId="18" fillId="0" borderId="0" xfId="0" applyNumberFormat="1" applyFont="1" applyAlignment="1">
      <alignment/>
    </xf>
    <xf numFmtId="0" fontId="17" fillId="35" borderId="0" xfId="0" applyFont="1" applyFill="1" applyBorder="1" applyAlignment="1">
      <alignment horizontal="left"/>
    </xf>
    <xf numFmtId="185" fontId="18" fillId="33" borderId="0" xfId="0" applyNumberFormat="1" applyFont="1" applyFill="1" applyBorder="1" applyAlignment="1">
      <alignment horizontal="right"/>
    </xf>
    <xf numFmtId="49" fontId="17" fillId="33" borderId="0" xfId="0" applyNumberFormat="1" applyFont="1" applyFill="1" applyBorder="1" applyAlignment="1">
      <alignment horizontal="left" wrapText="1"/>
    </xf>
    <xf numFmtId="0" fontId="17" fillId="33" borderId="0" xfId="0" applyFont="1" applyFill="1" applyBorder="1" applyAlignment="1">
      <alignment wrapText="1"/>
    </xf>
    <xf numFmtId="0" fontId="17" fillId="33" borderId="0" xfId="0" applyFont="1" applyFill="1" applyAlignment="1">
      <alignment/>
    </xf>
    <xf numFmtId="0" fontId="13" fillId="34" borderId="0" xfId="0" applyFont="1" applyFill="1" applyBorder="1" applyAlignment="1">
      <alignment horizontal="left"/>
    </xf>
    <xf numFmtId="0" fontId="13" fillId="34" borderId="0" xfId="0" applyFont="1" applyFill="1" applyAlignment="1">
      <alignment/>
    </xf>
    <xf numFmtId="2" fontId="13" fillId="34" borderId="0" xfId="0" applyNumberFormat="1" applyFont="1" applyFill="1" applyAlignment="1">
      <alignment/>
    </xf>
    <xf numFmtId="9" fontId="13" fillId="34" borderId="0" xfId="60" applyFont="1" applyFill="1" applyAlignment="1">
      <alignment/>
    </xf>
    <xf numFmtId="0" fontId="17" fillId="34" borderId="0" xfId="0" applyFont="1" applyFill="1" applyBorder="1" applyAlignment="1">
      <alignment horizontal="left"/>
    </xf>
    <xf numFmtId="0" fontId="17" fillId="34" borderId="0" xfId="0" applyFont="1" applyFill="1" applyAlignment="1">
      <alignment/>
    </xf>
    <xf numFmtId="9" fontId="17" fillId="34" borderId="0" xfId="60" applyFont="1" applyFill="1" applyAlignment="1">
      <alignment/>
    </xf>
    <xf numFmtId="9" fontId="18" fillId="0" borderId="0" xfId="60" applyFont="1" applyAlignment="1">
      <alignment/>
    </xf>
    <xf numFmtId="9" fontId="17" fillId="35" borderId="0" xfId="60" applyFont="1" applyFill="1" applyAlignment="1">
      <alignment/>
    </xf>
    <xf numFmtId="9" fontId="18" fillId="0" borderId="0" xfId="60" applyFont="1" applyFill="1" applyAlignment="1">
      <alignment/>
    </xf>
    <xf numFmtId="0" fontId="18" fillId="37" borderId="0" xfId="0" applyFont="1" applyFill="1" applyBorder="1" applyAlignment="1">
      <alignment horizontal="left"/>
    </xf>
    <xf numFmtId="9" fontId="18" fillId="37" borderId="0" xfId="60" applyFont="1" applyFill="1" applyAlignment="1">
      <alignment/>
    </xf>
    <xf numFmtId="1" fontId="18" fillId="0" borderId="0" xfId="0" applyNumberFormat="1" applyFont="1" applyBorder="1" applyAlignment="1">
      <alignment horizontal="right"/>
    </xf>
    <xf numFmtId="1" fontId="18" fillId="0" borderId="0" xfId="0" applyNumberFormat="1" applyFont="1" applyBorder="1" applyAlignment="1">
      <alignment horizontal="right" vertical="top"/>
    </xf>
    <xf numFmtId="0" fontId="17" fillId="33" borderId="0" xfId="0" applyFont="1" applyFill="1" applyBorder="1" applyAlignment="1">
      <alignment horizontal="left"/>
    </xf>
    <xf numFmtId="9" fontId="17" fillId="33" borderId="0" xfId="60" applyFont="1" applyFill="1" applyAlignment="1">
      <alignment/>
    </xf>
    <xf numFmtId="3" fontId="18" fillId="33" borderId="0" xfId="0" applyNumberFormat="1" applyFont="1" applyFill="1" applyBorder="1" applyAlignment="1">
      <alignment horizontal="left"/>
    </xf>
    <xf numFmtId="1" fontId="1" fillId="0" borderId="0" xfId="0" applyNumberFormat="1" applyFont="1" applyAlignment="1">
      <alignment/>
    </xf>
    <xf numFmtId="1" fontId="17" fillId="34" borderId="0" xfId="0" applyNumberFormat="1" applyFont="1" applyFill="1" applyAlignment="1">
      <alignment/>
    </xf>
    <xf numFmtId="1" fontId="18" fillId="0" borderId="0" xfId="0" applyNumberFormat="1" applyFont="1" applyAlignment="1">
      <alignment/>
    </xf>
    <xf numFmtId="1" fontId="17" fillId="35" borderId="0" xfId="0" applyNumberFormat="1" applyFont="1" applyFill="1" applyAlignment="1">
      <alignment/>
    </xf>
    <xf numFmtId="1" fontId="18" fillId="0" borderId="0" xfId="0" applyNumberFormat="1" applyFont="1" applyFill="1" applyAlignment="1">
      <alignment/>
    </xf>
    <xf numFmtId="1" fontId="18" fillId="37" borderId="0" xfId="0" applyNumberFormat="1" applyFont="1" applyFill="1" applyAlignment="1">
      <alignment/>
    </xf>
    <xf numFmtId="1" fontId="17" fillId="33" borderId="0" xfId="0" applyNumberFormat="1" applyFont="1" applyFill="1" applyBorder="1" applyAlignment="1">
      <alignment wrapText="1"/>
    </xf>
    <xf numFmtId="1" fontId="17" fillId="33" borderId="0" xfId="0" applyNumberFormat="1" applyFont="1" applyFill="1" applyAlignment="1">
      <alignment/>
    </xf>
    <xf numFmtId="1" fontId="0" fillId="0" borderId="0" xfId="0" applyNumberFormat="1" applyAlignment="1">
      <alignment/>
    </xf>
    <xf numFmtId="185" fontId="17" fillId="34" borderId="0" xfId="0" applyNumberFormat="1" applyFont="1" applyFill="1" applyAlignment="1">
      <alignment/>
    </xf>
    <xf numFmtId="185" fontId="17" fillId="35" borderId="0" xfId="0" applyNumberFormat="1" applyFont="1" applyFill="1" applyAlignment="1">
      <alignment/>
    </xf>
    <xf numFmtId="185" fontId="17" fillId="33" borderId="0" xfId="0" applyNumberFormat="1" applyFont="1" applyFill="1" applyAlignment="1">
      <alignment/>
    </xf>
    <xf numFmtId="185" fontId="13" fillId="34" borderId="0" xfId="0" applyNumberFormat="1" applyFont="1" applyFill="1" applyAlignment="1">
      <alignment/>
    </xf>
    <xf numFmtId="1" fontId="13" fillId="34" borderId="0" xfId="0" applyNumberFormat="1" applyFont="1" applyFill="1" applyAlignment="1">
      <alignment/>
    </xf>
    <xf numFmtId="1" fontId="0" fillId="35" borderId="0" xfId="0" applyNumberFormat="1" applyFill="1" applyAlignment="1">
      <alignment/>
    </xf>
    <xf numFmtId="1" fontId="0" fillId="36" borderId="0" xfId="0" applyNumberFormat="1" applyFill="1" applyAlignment="1">
      <alignment/>
    </xf>
    <xf numFmtId="1" fontId="0" fillId="33" borderId="0" xfId="0" applyNumberFormat="1" applyFont="1" applyFill="1" applyAlignment="1">
      <alignment/>
    </xf>
    <xf numFmtId="1" fontId="0" fillId="0" borderId="0" xfId="0" applyNumberFormat="1" applyFill="1" applyAlignment="1">
      <alignment/>
    </xf>
    <xf numFmtId="1" fontId="0" fillId="38" borderId="0" xfId="0" applyNumberFormat="1" applyFont="1" applyFill="1" applyAlignment="1">
      <alignment/>
    </xf>
    <xf numFmtId="187" fontId="13" fillId="0" borderId="0" xfId="0" applyNumberFormat="1" applyFont="1" applyAlignment="1">
      <alignment horizontal="left" wrapText="1"/>
    </xf>
    <xf numFmtId="187" fontId="13" fillId="0" borderId="0" xfId="0" applyNumberFormat="1" applyFont="1" applyAlignment="1">
      <alignment wrapText="1"/>
    </xf>
    <xf numFmtId="187" fontId="13" fillId="34" borderId="0" xfId="0" applyNumberFormat="1" applyFont="1" applyFill="1" applyAlignment="1">
      <alignment/>
    </xf>
    <xf numFmtId="187" fontId="0" fillId="35" borderId="0" xfId="0" applyNumberFormat="1" applyFill="1" applyAlignment="1">
      <alignment/>
    </xf>
    <xf numFmtId="187" fontId="0" fillId="36" borderId="0" xfId="0" applyNumberFormat="1" applyFill="1" applyAlignment="1">
      <alignment/>
    </xf>
    <xf numFmtId="187" fontId="0" fillId="33" borderId="0" xfId="0" applyNumberFormat="1" applyFill="1" applyAlignment="1">
      <alignment/>
    </xf>
    <xf numFmtId="187" fontId="0" fillId="0" borderId="0" xfId="0" applyNumberFormat="1" applyFill="1" applyAlignment="1">
      <alignment/>
    </xf>
    <xf numFmtId="187" fontId="0" fillId="0" borderId="0" xfId="0" applyNumberFormat="1" applyAlignment="1">
      <alignment/>
    </xf>
    <xf numFmtId="187" fontId="0" fillId="38" borderId="0" xfId="0" applyNumberFormat="1" applyFill="1" applyAlignment="1">
      <alignment/>
    </xf>
    <xf numFmtId="187" fontId="0" fillId="33" borderId="0" xfId="0" applyNumberFormat="1" applyFont="1" applyFill="1" applyAlignment="1">
      <alignment/>
    </xf>
    <xf numFmtId="187" fontId="0" fillId="0" borderId="0" xfId="0" applyNumberFormat="1" applyFont="1" applyFill="1" applyAlignment="1">
      <alignment/>
    </xf>
    <xf numFmtId="10" fontId="17" fillId="0" borderId="0" xfId="60" applyNumberFormat="1" applyFont="1" applyAlignment="1">
      <alignment/>
    </xf>
    <xf numFmtId="10" fontId="17" fillId="34" borderId="0" xfId="0" applyNumberFormat="1" applyFont="1" applyFill="1" applyAlignment="1">
      <alignment/>
    </xf>
    <xf numFmtId="0" fontId="18" fillId="35" borderId="0" xfId="0" applyFont="1" applyFill="1" applyBorder="1" applyAlignment="1">
      <alignment horizontal="left"/>
    </xf>
    <xf numFmtId="10" fontId="18" fillId="35" borderId="0" xfId="0" applyNumberFormat="1" applyFont="1" applyFill="1" applyAlignment="1">
      <alignment/>
    </xf>
    <xf numFmtId="10" fontId="18" fillId="0" borderId="0" xfId="0" applyNumberFormat="1" applyFont="1" applyAlignment="1">
      <alignment/>
    </xf>
    <xf numFmtId="0" fontId="18" fillId="36" borderId="0" xfId="0" applyFont="1" applyFill="1" applyBorder="1" applyAlignment="1">
      <alignment horizontal="left"/>
    </xf>
    <xf numFmtId="10" fontId="18" fillId="36" borderId="0" xfId="0" applyNumberFormat="1" applyFont="1" applyFill="1" applyAlignment="1">
      <alignment/>
    </xf>
    <xf numFmtId="9" fontId="18" fillId="0" borderId="0" xfId="0" applyNumberFormat="1" applyFont="1" applyFill="1" applyAlignment="1">
      <alignment/>
    </xf>
    <xf numFmtId="10" fontId="18" fillId="37" borderId="0" xfId="0" applyNumberFormat="1" applyFont="1" applyFill="1" applyAlignment="1">
      <alignment/>
    </xf>
    <xf numFmtId="10" fontId="18" fillId="33" borderId="0" xfId="0" applyNumberFormat="1" applyFont="1" applyFill="1" applyAlignment="1">
      <alignment/>
    </xf>
    <xf numFmtId="1" fontId="17" fillId="0" borderId="0" xfId="0" applyNumberFormat="1" applyFont="1" applyAlignment="1">
      <alignment/>
    </xf>
    <xf numFmtId="1" fontId="18" fillId="35" borderId="0" xfId="0" applyNumberFormat="1" applyFont="1" applyFill="1" applyAlignment="1">
      <alignment/>
    </xf>
    <xf numFmtId="1" fontId="18" fillId="36" borderId="0" xfId="0" applyNumberFormat="1" applyFont="1" applyFill="1" applyAlignment="1">
      <alignment/>
    </xf>
    <xf numFmtId="0" fontId="0" fillId="0" borderId="0" xfId="57">
      <alignment/>
      <protection/>
    </xf>
    <xf numFmtId="3" fontId="0" fillId="0" borderId="0" xfId="57" applyNumberFormat="1" applyFont="1" applyBorder="1" applyAlignment="1">
      <alignment horizontal="right"/>
      <protection/>
    </xf>
    <xf numFmtId="0" fontId="0" fillId="0" borderId="0" xfId="57" applyFont="1" applyBorder="1" applyAlignment="1">
      <alignment wrapText="1"/>
      <protection/>
    </xf>
    <xf numFmtId="49" fontId="0" fillId="0" borderId="0" xfId="57" applyNumberFormat="1" applyFont="1" applyBorder="1" applyAlignment="1">
      <alignment horizontal="left" wrapText="1"/>
      <protection/>
    </xf>
    <xf numFmtId="0" fontId="0" fillId="0" borderId="0" xfId="57" applyFont="1" applyFill="1" applyBorder="1" applyAlignment="1">
      <alignment horizontal="left"/>
      <protection/>
    </xf>
    <xf numFmtId="0" fontId="1" fillId="0" borderId="0" xfId="57" applyFont="1" applyFill="1" applyBorder="1" applyAlignment="1">
      <alignment horizontal="left" wrapText="1"/>
      <protection/>
    </xf>
    <xf numFmtId="49" fontId="1" fillId="0" borderId="0" xfId="57" applyNumberFormat="1" applyFont="1" applyFill="1" applyBorder="1" applyAlignment="1">
      <alignment horizontal="left" wrapText="1"/>
      <protection/>
    </xf>
    <xf numFmtId="0" fontId="0" fillId="33" borderId="0" xfId="57" applyFill="1">
      <alignment/>
      <protection/>
    </xf>
    <xf numFmtId="185" fontId="0" fillId="33" borderId="0" xfId="57" applyNumberFormat="1" applyFill="1">
      <alignment/>
      <protection/>
    </xf>
    <xf numFmtId="2" fontId="0" fillId="33" borderId="0" xfId="57" applyNumberFormat="1" applyFill="1">
      <alignment/>
      <protection/>
    </xf>
    <xf numFmtId="3" fontId="0" fillId="33" borderId="0" xfId="57" applyNumberFormat="1" applyFont="1" applyFill="1" applyBorder="1" applyAlignment="1">
      <alignment horizontal="right"/>
      <protection/>
    </xf>
    <xf numFmtId="0" fontId="0" fillId="33" borderId="0" xfId="57" applyFont="1" applyFill="1" applyBorder="1" applyAlignment="1">
      <alignment wrapText="1"/>
      <protection/>
    </xf>
    <xf numFmtId="49" fontId="0" fillId="33" borderId="0" xfId="57" applyNumberFormat="1" applyFont="1" applyFill="1" applyBorder="1" applyAlignment="1">
      <alignment horizontal="left" wrapText="1"/>
      <protection/>
    </xf>
    <xf numFmtId="0" fontId="0" fillId="33" borderId="0" xfId="57" applyFont="1" applyFill="1" applyBorder="1" applyAlignment="1">
      <alignment horizontal="left"/>
      <protection/>
    </xf>
    <xf numFmtId="0" fontId="1" fillId="33" borderId="0" xfId="57" applyFont="1" applyFill="1" applyBorder="1" applyAlignment="1">
      <alignment horizontal="left" wrapText="1"/>
      <protection/>
    </xf>
    <xf numFmtId="185" fontId="0" fillId="33" borderId="0" xfId="57" applyNumberFormat="1" applyFont="1" applyFill="1">
      <alignment/>
      <protection/>
    </xf>
    <xf numFmtId="185" fontId="0" fillId="33" borderId="0" xfId="61" applyNumberFormat="1" applyFont="1" applyFill="1" applyAlignment="1">
      <alignment/>
    </xf>
    <xf numFmtId="185" fontId="0" fillId="33" borderId="0" xfId="57" applyNumberFormat="1" applyFont="1" applyFill="1" applyBorder="1" applyAlignment="1">
      <alignment horizontal="right"/>
      <protection/>
    </xf>
    <xf numFmtId="185" fontId="0" fillId="33" borderId="0" xfId="57" applyNumberFormat="1" applyFont="1" applyFill="1" applyBorder="1" applyAlignment="1">
      <alignment wrapText="1"/>
      <protection/>
    </xf>
    <xf numFmtId="185" fontId="0" fillId="33" borderId="0" xfId="57" applyNumberFormat="1" applyFont="1" applyFill="1" applyBorder="1" applyAlignment="1">
      <alignment horizontal="left" wrapText="1"/>
      <protection/>
    </xf>
    <xf numFmtId="185" fontId="0" fillId="33" borderId="0" xfId="57" applyNumberFormat="1" applyFont="1" applyFill="1" applyBorder="1" applyAlignment="1">
      <alignment horizontal="left"/>
      <protection/>
    </xf>
    <xf numFmtId="185" fontId="1" fillId="33" borderId="0" xfId="57" applyNumberFormat="1" applyFont="1" applyFill="1" applyBorder="1" applyAlignment="1">
      <alignment horizontal="left" wrapText="1"/>
      <protection/>
    </xf>
    <xf numFmtId="0" fontId="0" fillId="36" borderId="0" xfId="57" applyFill="1">
      <alignment/>
      <protection/>
    </xf>
    <xf numFmtId="3" fontId="0" fillId="36" borderId="0" xfId="57" applyNumberFormat="1" applyFont="1" applyFill="1" applyBorder="1" applyAlignment="1">
      <alignment horizontal="right"/>
      <protection/>
    </xf>
    <xf numFmtId="0" fontId="0" fillId="36" borderId="0" xfId="57" applyFont="1" applyFill="1" applyBorder="1" applyAlignment="1">
      <alignment wrapText="1"/>
      <protection/>
    </xf>
    <xf numFmtId="49" fontId="0" fillId="36" borderId="0" xfId="57" applyNumberFormat="1" applyFont="1" applyFill="1" applyBorder="1" applyAlignment="1">
      <alignment horizontal="left" wrapText="1"/>
      <protection/>
    </xf>
    <xf numFmtId="0" fontId="0" fillId="36" borderId="0" xfId="57" applyFont="1" applyFill="1" applyBorder="1" applyAlignment="1">
      <alignment horizontal="left"/>
      <protection/>
    </xf>
    <xf numFmtId="0" fontId="1" fillId="36" borderId="0" xfId="57" applyFont="1" applyFill="1" applyBorder="1" applyAlignment="1">
      <alignment horizontal="left" wrapText="1"/>
      <protection/>
    </xf>
    <xf numFmtId="0" fontId="0" fillId="0" borderId="0" xfId="57" applyFill="1">
      <alignment/>
      <protection/>
    </xf>
    <xf numFmtId="0" fontId="0" fillId="0" borderId="0" xfId="57" applyFont="1" applyFill="1">
      <alignment/>
      <protection/>
    </xf>
    <xf numFmtId="9" fontId="0" fillId="0" borderId="0" xfId="61" applyFont="1" applyFill="1" applyAlignment="1">
      <alignment/>
    </xf>
    <xf numFmtId="3" fontId="0" fillId="0" borderId="0" xfId="57" applyNumberFormat="1" applyFont="1" applyFill="1" applyBorder="1" applyAlignment="1">
      <alignment horizontal="right"/>
      <protection/>
    </xf>
    <xf numFmtId="0" fontId="0" fillId="0" borderId="0" xfId="57" applyFont="1" applyFill="1" applyBorder="1" applyAlignment="1">
      <alignment wrapText="1"/>
      <protection/>
    </xf>
    <xf numFmtId="49" fontId="0" fillId="0" borderId="0" xfId="57" applyNumberFormat="1" applyFont="1" applyFill="1" applyBorder="1" applyAlignment="1">
      <alignment horizontal="left" wrapText="1"/>
      <protection/>
    </xf>
    <xf numFmtId="9" fontId="0" fillId="33" borderId="0" xfId="61" applyFont="1" applyFill="1" applyAlignment="1">
      <alignment/>
    </xf>
    <xf numFmtId="0" fontId="0" fillId="35" borderId="0" xfId="57" applyFill="1">
      <alignment/>
      <protection/>
    </xf>
    <xf numFmtId="3" fontId="0" fillId="35" borderId="0" xfId="57" applyNumberFormat="1" applyFont="1" applyFill="1" applyBorder="1" applyAlignment="1">
      <alignment horizontal="right"/>
      <protection/>
    </xf>
    <xf numFmtId="0" fontId="0" fillId="35" borderId="0" xfId="57" applyFont="1" applyFill="1" applyBorder="1" applyAlignment="1">
      <alignment wrapText="1"/>
      <protection/>
    </xf>
    <xf numFmtId="49" fontId="0" fillId="35" borderId="0" xfId="57" applyNumberFormat="1" applyFont="1" applyFill="1" applyBorder="1" applyAlignment="1">
      <alignment horizontal="left" wrapText="1"/>
      <protection/>
    </xf>
    <xf numFmtId="0" fontId="0" fillId="35" borderId="0" xfId="57" applyFont="1" applyFill="1" applyBorder="1" applyAlignment="1">
      <alignment horizontal="left"/>
      <protection/>
    </xf>
    <xf numFmtId="0" fontId="1" fillId="35" borderId="0" xfId="57" applyFont="1" applyFill="1" applyBorder="1" applyAlignment="1">
      <alignment horizontal="left" wrapText="1"/>
      <protection/>
    </xf>
    <xf numFmtId="0" fontId="0" fillId="0" borderId="0" xfId="57" applyBorder="1">
      <alignment/>
      <protection/>
    </xf>
    <xf numFmtId="0" fontId="1" fillId="0" borderId="0" xfId="57" applyFont="1" applyBorder="1">
      <alignment/>
      <protection/>
    </xf>
    <xf numFmtId="0" fontId="0" fillId="0" borderId="0" xfId="57" applyFont="1" applyBorder="1">
      <alignment/>
      <protection/>
    </xf>
    <xf numFmtId="0" fontId="1" fillId="0" borderId="0" xfId="57" applyFont="1">
      <alignment/>
      <protection/>
    </xf>
    <xf numFmtId="9" fontId="1" fillId="0" borderId="0" xfId="61" applyFont="1" applyAlignment="1">
      <alignment/>
    </xf>
    <xf numFmtId="0" fontId="0" fillId="0" borderId="0" xfId="57" applyFont="1">
      <alignment/>
      <protection/>
    </xf>
    <xf numFmtId="185" fontId="0" fillId="0" borderId="0" xfId="57" applyNumberFormat="1">
      <alignment/>
      <protection/>
    </xf>
    <xf numFmtId="185" fontId="1" fillId="0" borderId="0" xfId="57" applyNumberFormat="1" applyFont="1">
      <alignment/>
      <protection/>
    </xf>
    <xf numFmtId="0" fontId="13" fillId="34" borderId="0" xfId="57" applyFont="1" applyFill="1" applyBorder="1" applyAlignment="1">
      <alignment horizontal="left" wrapText="1"/>
      <protection/>
    </xf>
    <xf numFmtId="0" fontId="13" fillId="34" borderId="0" xfId="57" applyFont="1" applyFill="1" applyBorder="1" applyAlignment="1">
      <alignment horizontal="left"/>
      <protection/>
    </xf>
    <xf numFmtId="49" fontId="13" fillId="34" borderId="0" xfId="57" applyNumberFormat="1" applyFont="1" applyFill="1" applyBorder="1" applyAlignment="1">
      <alignment horizontal="left" wrapText="1"/>
      <protection/>
    </xf>
    <xf numFmtId="0" fontId="13" fillId="34" borderId="0" xfId="57" applyFont="1" applyFill="1" applyBorder="1" applyAlignment="1">
      <alignment wrapText="1"/>
      <protection/>
    </xf>
    <xf numFmtId="3" fontId="13" fillId="34" borderId="0" xfId="57" applyNumberFormat="1" applyFont="1" applyFill="1" applyBorder="1" applyAlignment="1">
      <alignment horizontal="right"/>
      <protection/>
    </xf>
    <xf numFmtId="0" fontId="13" fillId="34" borderId="0" xfId="57" applyFont="1" applyFill="1">
      <alignment/>
      <protection/>
    </xf>
    <xf numFmtId="1" fontId="1" fillId="0" borderId="0" xfId="57" applyNumberFormat="1" applyFont="1">
      <alignment/>
      <protection/>
    </xf>
    <xf numFmtId="1" fontId="13" fillId="34" borderId="0" xfId="57" applyNumberFormat="1" applyFont="1" applyFill="1">
      <alignment/>
      <protection/>
    </xf>
    <xf numFmtId="1" fontId="0" fillId="35" borderId="0" xfId="57" applyNumberFormat="1" applyFill="1">
      <alignment/>
      <protection/>
    </xf>
    <xf numFmtId="1" fontId="0" fillId="36" borderId="0" xfId="57" applyNumberFormat="1" applyFill="1">
      <alignment/>
      <protection/>
    </xf>
    <xf numFmtId="1" fontId="0" fillId="33" borderId="0" xfId="57" applyNumberFormat="1" applyFill="1">
      <alignment/>
      <protection/>
    </xf>
    <xf numFmtId="1" fontId="0" fillId="0" borderId="0" xfId="57" applyNumberFormat="1" applyFill="1">
      <alignment/>
      <protection/>
    </xf>
    <xf numFmtId="1" fontId="0" fillId="0" borderId="0" xfId="57" applyNumberFormat="1">
      <alignment/>
      <protection/>
    </xf>
    <xf numFmtId="185" fontId="0" fillId="34" borderId="0" xfId="57" applyNumberFormat="1" applyFill="1">
      <alignment/>
      <protection/>
    </xf>
    <xf numFmtId="185" fontId="0" fillId="34" borderId="0" xfId="57" applyNumberFormat="1" applyFont="1" applyFill="1">
      <alignment/>
      <protection/>
    </xf>
    <xf numFmtId="185" fontId="1" fillId="34" borderId="0" xfId="57" applyNumberFormat="1" applyFont="1" applyFill="1" applyBorder="1" applyAlignment="1">
      <alignment horizontal="left" wrapText="1"/>
      <protection/>
    </xf>
    <xf numFmtId="0" fontId="2" fillId="0" borderId="0" xfId="57" applyFont="1" applyBorder="1">
      <alignment/>
      <protection/>
    </xf>
    <xf numFmtId="0" fontId="0" fillId="33" borderId="0" xfId="57" applyFont="1" applyFill="1">
      <alignment/>
      <protection/>
    </xf>
    <xf numFmtId="0" fontId="0" fillId="33" borderId="0" xfId="57" applyFont="1" applyFill="1" applyBorder="1">
      <alignment/>
      <protection/>
    </xf>
    <xf numFmtId="185" fontId="0" fillId="36" borderId="0" xfId="57" applyNumberFormat="1" applyFill="1">
      <alignment/>
      <protection/>
    </xf>
    <xf numFmtId="185" fontId="0" fillId="35" borderId="0" xfId="57" applyNumberFormat="1" applyFill="1">
      <alignment/>
      <protection/>
    </xf>
    <xf numFmtId="9" fontId="0" fillId="33" borderId="0" xfId="61" applyNumberFormat="1" applyFont="1" applyFill="1" applyAlignment="1">
      <alignment/>
    </xf>
    <xf numFmtId="0" fontId="13" fillId="0" borderId="0" xfId="57" applyFont="1">
      <alignment/>
      <protection/>
    </xf>
    <xf numFmtId="0" fontId="13" fillId="35" borderId="0" xfId="57" applyFont="1" applyFill="1" applyBorder="1">
      <alignment/>
      <protection/>
    </xf>
    <xf numFmtId="0" fontId="0" fillId="39" borderId="0" xfId="57" applyFill="1" applyBorder="1">
      <alignment/>
      <protection/>
    </xf>
    <xf numFmtId="0" fontId="0" fillId="33" borderId="0" xfId="57" applyFill="1" applyBorder="1">
      <alignment/>
      <protection/>
    </xf>
    <xf numFmtId="0" fontId="0" fillId="0" borderId="0" xfId="57" applyFill="1" applyBorder="1">
      <alignment/>
      <protection/>
    </xf>
    <xf numFmtId="0" fontId="0" fillId="38" borderId="0" xfId="57" applyFill="1" applyBorder="1">
      <alignment/>
      <protection/>
    </xf>
    <xf numFmtId="167" fontId="3" fillId="0" borderId="0" xfId="57" applyNumberFormat="1" applyFont="1" applyBorder="1" applyAlignment="1">
      <alignment horizontal="right" vertical="top"/>
      <protection/>
    </xf>
    <xf numFmtId="185" fontId="0" fillId="33" borderId="0" xfId="57" applyNumberFormat="1" applyFont="1" applyFill="1" applyBorder="1" applyAlignment="1">
      <alignment horizontal="right" vertical="top"/>
      <protection/>
    </xf>
    <xf numFmtId="185" fontId="0" fillId="33" borderId="0" xfId="57" applyNumberFormat="1" applyFont="1" applyFill="1" applyBorder="1">
      <alignment/>
      <protection/>
    </xf>
    <xf numFmtId="167" fontId="13" fillId="35" borderId="0" xfId="57" applyNumberFormat="1" applyFont="1" applyFill="1" applyBorder="1" applyAlignment="1">
      <alignment horizontal="right" vertical="top"/>
      <protection/>
    </xf>
    <xf numFmtId="167" fontId="3" fillId="33" borderId="0" xfId="57" applyNumberFormat="1" applyFont="1" applyFill="1" applyBorder="1" applyAlignment="1">
      <alignment horizontal="right" vertical="top"/>
      <protection/>
    </xf>
    <xf numFmtId="167" fontId="3" fillId="0" borderId="0" xfId="57" applyNumberFormat="1" applyFont="1" applyFill="1" applyBorder="1" applyAlignment="1">
      <alignment horizontal="right" vertical="top"/>
      <protection/>
    </xf>
    <xf numFmtId="167" fontId="3" fillId="25" borderId="0" xfId="57" applyNumberFormat="1" applyFont="1" applyFill="1" applyBorder="1" applyAlignment="1">
      <alignment horizontal="right" vertical="top"/>
      <protection/>
    </xf>
    <xf numFmtId="0" fontId="0" fillId="25" borderId="0" xfId="57" applyFill="1" applyBorder="1">
      <alignment/>
      <protection/>
    </xf>
    <xf numFmtId="167" fontId="3" fillId="39" borderId="0" xfId="57" applyNumberFormat="1" applyFont="1" applyFill="1" applyBorder="1" applyAlignment="1">
      <alignment horizontal="right" vertical="top"/>
      <protection/>
    </xf>
    <xf numFmtId="185" fontId="18" fillId="33" borderId="0" xfId="57" applyNumberFormat="1" applyFont="1" applyFill="1" applyBorder="1" applyAlignment="1">
      <alignment horizontal="left" wrapText="1"/>
      <protection/>
    </xf>
    <xf numFmtId="185" fontId="18" fillId="33" borderId="0" xfId="57" applyNumberFormat="1" applyFont="1" applyFill="1" applyBorder="1" applyAlignment="1">
      <alignment horizontal="left" vertical="top" wrapText="1"/>
      <protection/>
    </xf>
    <xf numFmtId="185" fontId="18" fillId="33" borderId="0" xfId="57" applyNumberFormat="1" applyFont="1" applyFill="1" applyBorder="1" applyAlignment="1">
      <alignment horizontal="right" vertical="top" wrapText="1"/>
      <protection/>
    </xf>
    <xf numFmtId="0" fontId="17" fillId="33" borderId="0" xfId="57" applyFont="1" applyFill="1" applyBorder="1" applyAlignment="1">
      <alignment horizontal="left" wrapText="1"/>
      <protection/>
    </xf>
    <xf numFmtId="0" fontId="18" fillId="33" borderId="0" xfId="57" applyFont="1" applyFill="1" applyBorder="1">
      <alignment/>
      <protection/>
    </xf>
    <xf numFmtId="49" fontId="18" fillId="33" borderId="0" xfId="57" applyNumberFormat="1" applyFont="1" applyFill="1" applyBorder="1" applyAlignment="1">
      <alignment horizontal="left" wrapText="1"/>
      <protection/>
    </xf>
    <xf numFmtId="0" fontId="18" fillId="33" borderId="0" xfId="57" applyFont="1" applyFill="1" applyBorder="1" applyAlignment="1">
      <alignment wrapText="1"/>
      <protection/>
    </xf>
    <xf numFmtId="3" fontId="18" fillId="33" borderId="0" xfId="57" applyNumberFormat="1" applyFont="1" applyFill="1" applyBorder="1" applyAlignment="1">
      <alignment horizontal="right"/>
      <protection/>
    </xf>
    <xf numFmtId="167" fontId="18" fillId="33" borderId="0" xfId="57" applyNumberFormat="1" applyFont="1" applyFill="1" applyBorder="1" applyAlignment="1">
      <alignment horizontal="right" vertical="top"/>
      <protection/>
    </xf>
    <xf numFmtId="2" fontId="18" fillId="33" borderId="0" xfId="57" applyNumberFormat="1" applyFont="1" applyFill="1" applyBorder="1">
      <alignment/>
      <protection/>
    </xf>
    <xf numFmtId="2" fontId="18" fillId="33" borderId="0" xfId="57" applyNumberFormat="1" applyFont="1" applyFill="1" applyBorder="1" applyAlignment="1">
      <alignment horizontal="right" vertical="top"/>
      <protection/>
    </xf>
    <xf numFmtId="9" fontId="18" fillId="33" borderId="0" xfId="61" applyFont="1" applyFill="1" applyBorder="1" applyAlignment="1">
      <alignment horizontal="right" vertical="top"/>
    </xf>
    <xf numFmtId="167" fontId="18" fillId="33" borderId="0" xfId="57" applyNumberFormat="1" applyFont="1" applyFill="1" applyBorder="1" applyAlignment="1">
      <alignment horizontal="left" vertical="top"/>
      <protection/>
    </xf>
    <xf numFmtId="4" fontId="18" fillId="33" borderId="0" xfId="57" applyNumberFormat="1" applyFont="1" applyFill="1" applyBorder="1" applyAlignment="1">
      <alignment horizontal="left" vertical="top"/>
      <protection/>
    </xf>
    <xf numFmtId="189" fontId="18" fillId="33" borderId="0" xfId="57" applyNumberFormat="1" applyFont="1" applyFill="1" applyBorder="1" applyAlignment="1">
      <alignment horizontal="left" vertical="top"/>
      <protection/>
    </xf>
    <xf numFmtId="0" fontId="18" fillId="33" borderId="0" xfId="57" applyFont="1" applyFill="1" applyBorder="1" applyAlignment="1">
      <alignment horizontal="left"/>
      <protection/>
    </xf>
    <xf numFmtId="0" fontId="17" fillId="38" borderId="0" xfId="57" applyFont="1" applyFill="1" applyBorder="1" applyAlignment="1">
      <alignment horizontal="left" wrapText="1"/>
      <protection/>
    </xf>
    <xf numFmtId="0" fontId="18" fillId="38" borderId="0" xfId="57" applyFont="1" applyFill="1" applyBorder="1">
      <alignment/>
      <protection/>
    </xf>
    <xf numFmtId="49" fontId="18" fillId="38" borderId="0" xfId="57" applyNumberFormat="1" applyFont="1" applyFill="1" applyBorder="1" applyAlignment="1">
      <alignment horizontal="left" wrapText="1"/>
      <protection/>
    </xf>
    <xf numFmtId="0" fontId="18" fillId="38" borderId="0" xfId="57" applyFont="1" applyFill="1" applyBorder="1" applyAlignment="1">
      <alignment wrapText="1"/>
      <protection/>
    </xf>
    <xf numFmtId="3" fontId="18" fillId="38" borderId="0" xfId="57" applyNumberFormat="1" applyFont="1" applyFill="1" applyBorder="1" applyAlignment="1">
      <alignment horizontal="right"/>
      <protection/>
    </xf>
    <xf numFmtId="167" fontId="18" fillId="38" borderId="0" xfId="57" applyNumberFormat="1" applyFont="1" applyFill="1" applyBorder="1" applyAlignment="1">
      <alignment horizontal="right" vertical="top"/>
      <protection/>
    </xf>
    <xf numFmtId="2" fontId="18" fillId="38" borderId="0" xfId="57" applyNumberFormat="1" applyFont="1" applyFill="1" applyBorder="1">
      <alignment/>
      <protection/>
    </xf>
    <xf numFmtId="2" fontId="18" fillId="38" borderId="0" xfId="57" applyNumberFormat="1" applyFont="1" applyFill="1" applyBorder="1" applyAlignment="1">
      <alignment horizontal="right" vertical="top"/>
      <protection/>
    </xf>
    <xf numFmtId="9" fontId="18" fillId="38" borderId="0" xfId="61" applyFont="1" applyFill="1" applyBorder="1" applyAlignment="1">
      <alignment horizontal="right" vertical="top"/>
    </xf>
    <xf numFmtId="167" fontId="18" fillId="38" borderId="0" xfId="57" applyNumberFormat="1" applyFont="1" applyFill="1" applyBorder="1" applyAlignment="1">
      <alignment horizontal="left" vertical="top"/>
      <protection/>
    </xf>
    <xf numFmtId="4" fontId="18" fillId="38" borderId="0" xfId="57" applyNumberFormat="1" applyFont="1" applyFill="1" applyBorder="1" applyAlignment="1">
      <alignment horizontal="left" vertical="top"/>
      <protection/>
    </xf>
    <xf numFmtId="0" fontId="18" fillId="38" borderId="0" xfId="57" applyFont="1" applyFill="1" applyBorder="1" applyAlignment="1">
      <alignment horizontal="left"/>
      <protection/>
    </xf>
    <xf numFmtId="185" fontId="18" fillId="38" borderId="0" xfId="57" applyNumberFormat="1" applyFont="1" applyFill="1" applyBorder="1" applyAlignment="1">
      <alignment horizontal="left" wrapText="1"/>
      <protection/>
    </xf>
    <xf numFmtId="185" fontId="18" fillId="38" borderId="0" xfId="57" applyNumberFormat="1" applyFont="1" applyFill="1" applyBorder="1" applyAlignment="1">
      <alignment horizontal="left" vertical="top" wrapText="1"/>
      <protection/>
    </xf>
    <xf numFmtId="185" fontId="18" fillId="38" borderId="0" xfId="57" applyNumberFormat="1" applyFont="1" applyFill="1" applyBorder="1" applyAlignment="1">
      <alignment horizontal="right" vertical="top" wrapText="1"/>
      <protection/>
    </xf>
    <xf numFmtId="2" fontId="18" fillId="33" borderId="0" xfId="57" applyNumberFormat="1" applyFont="1" applyFill="1" applyBorder="1" applyAlignment="1">
      <alignment horizontal="left" vertical="top"/>
      <protection/>
    </xf>
    <xf numFmtId="2" fontId="18" fillId="33" borderId="0" xfId="57" applyNumberFormat="1" applyFont="1" applyFill="1" applyBorder="1" applyAlignment="1">
      <alignment horizontal="left"/>
      <protection/>
    </xf>
    <xf numFmtId="167" fontId="3" fillId="38" borderId="0" xfId="57" applyNumberFormat="1" applyFont="1" applyFill="1" applyBorder="1" applyAlignment="1">
      <alignment horizontal="right" vertical="top"/>
      <protection/>
    </xf>
    <xf numFmtId="4" fontId="18" fillId="33" borderId="0" xfId="57" applyNumberFormat="1" applyFont="1" applyFill="1" applyBorder="1" applyAlignment="1">
      <alignment horizontal="right" vertical="top"/>
      <protection/>
    </xf>
    <xf numFmtId="0" fontId="17" fillId="0" borderId="0" xfId="57" applyFont="1" applyFill="1" applyBorder="1" applyAlignment="1">
      <alignment horizontal="left" wrapText="1"/>
      <protection/>
    </xf>
    <xf numFmtId="0" fontId="18" fillId="0" borderId="0" xfId="57" applyFont="1" applyBorder="1">
      <alignment/>
      <protection/>
    </xf>
    <xf numFmtId="49" fontId="18" fillId="0" borderId="0" xfId="57" applyNumberFormat="1" applyFont="1" applyBorder="1" applyAlignment="1">
      <alignment horizontal="left" wrapText="1"/>
      <protection/>
    </xf>
    <xf numFmtId="0" fontId="18" fillId="0" borderId="0" xfId="57" applyFont="1" applyBorder="1" applyAlignment="1">
      <alignment wrapText="1"/>
      <protection/>
    </xf>
    <xf numFmtId="3" fontId="18" fillId="0" borderId="0" xfId="57" applyNumberFormat="1" applyFont="1" applyBorder="1" applyAlignment="1">
      <alignment horizontal="right"/>
      <protection/>
    </xf>
    <xf numFmtId="167" fontId="18" fillId="0" borderId="0" xfId="57" applyNumberFormat="1" applyFont="1" applyBorder="1" applyAlignment="1">
      <alignment horizontal="right" vertical="top"/>
      <protection/>
    </xf>
    <xf numFmtId="2" fontId="18" fillId="0" borderId="0" xfId="57" applyNumberFormat="1" applyFont="1" applyBorder="1" applyAlignment="1">
      <alignment horizontal="right" vertical="top"/>
      <protection/>
    </xf>
    <xf numFmtId="4" fontId="18" fillId="0" borderId="0" xfId="57" applyNumberFormat="1" applyFont="1" applyBorder="1" applyAlignment="1">
      <alignment horizontal="right" vertical="top"/>
      <protection/>
    </xf>
    <xf numFmtId="9" fontId="18" fillId="0" borderId="0" xfId="61" applyFont="1" applyBorder="1" applyAlignment="1">
      <alignment horizontal="right" vertical="top"/>
    </xf>
    <xf numFmtId="167" fontId="18" fillId="0" borderId="0" xfId="57" applyNumberFormat="1" applyFont="1" applyBorder="1" applyAlignment="1">
      <alignment horizontal="left" vertical="top"/>
      <protection/>
    </xf>
    <xf numFmtId="2" fontId="18" fillId="0" borderId="0" xfId="57" applyNumberFormat="1" applyFont="1" applyBorder="1" applyAlignment="1">
      <alignment horizontal="left" vertical="top"/>
      <protection/>
    </xf>
    <xf numFmtId="0" fontId="18" fillId="0" borderId="0" xfId="57" applyFont="1" applyBorder="1" applyAlignment="1">
      <alignment horizontal="left"/>
      <protection/>
    </xf>
    <xf numFmtId="185" fontId="18" fillId="0" borderId="0" xfId="57" applyNumberFormat="1" applyFont="1" applyBorder="1" applyAlignment="1">
      <alignment horizontal="left" wrapText="1"/>
      <protection/>
    </xf>
    <xf numFmtId="185" fontId="18" fillId="0" borderId="0" xfId="57" applyNumberFormat="1" applyFont="1" applyBorder="1" applyAlignment="1">
      <alignment horizontal="left" vertical="top" wrapText="1"/>
      <protection/>
    </xf>
    <xf numFmtId="185" fontId="18" fillId="0" borderId="0" xfId="57" applyNumberFormat="1" applyFont="1" applyBorder="1" applyAlignment="1">
      <alignment horizontal="right" vertical="top" wrapText="1"/>
      <protection/>
    </xf>
    <xf numFmtId="0" fontId="17" fillId="35" borderId="0" xfId="57" applyFont="1" applyFill="1" applyBorder="1" applyAlignment="1">
      <alignment horizontal="left" wrapText="1"/>
      <protection/>
    </xf>
    <xf numFmtId="0" fontId="17" fillId="35" borderId="0" xfId="57" applyFont="1" applyFill="1" applyBorder="1">
      <alignment/>
      <protection/>
    </xf>
    <xf numFmtId="49" fontId="17" fillId="35" borderId="0" xfId="57" applyNumberFormat="1" applyFont="1" applyFill="1" applyBorder="1" applyAlignment="1">
      <alignment horizontal="left" wrapText="1"/>
      <protection/>
    </xf>
    <xf numFmtId="0" fontId="17" fillId="35" borderId="0" xfId="57" applyFont="1" applyFill="1" applyBorder="1" applyAlignment="1">
      <alignment wrapText="1"/>
      <protection/>
    </xf>
    <xf numFmtId="3" fontId="17" fillId="35" borderId="0" xfId="57" applyNumberFormat="1" applyFont="1" applyFill="1" applyBorder="1" applyAlignment="1">
      <alignment horizontal="right"/>
      <protection/>
    </xf>
    <xf numFmtId="167" fontId="17" fillId="35" borderId="0" xfId="57" applyNumberFormat="1" applyFont="1" applyFill="1" applyBorder="1" applyAlignment="1">
      <alignment horizontal="right" vertical="top"/>
      <protection/>
    </xf>
    <xf numFmtId="2" fontId="17" fillId="35" borderId="0" xfId="57" applyNumberFormat="1" applyFont="1" applyFill="1" applyBorder="1" applyAlignment="1">
      <alignment horizontal="right" vertical="top"/>
      <protection/>
    </xf>
    <xf numFmtId="4" fontId="17" fillId="35" borderId="0" xfId="57" applyNumberFormat="1" applyFont="1" applyFill="1" applyBorder="1" applyAlignment="1">
      <alignment horizontal="right" vertical="top"/>
      <protection/>
    </xf>
    <xf numFmtId="9" fontId="17" fillId="35" borderId="0" xfId="61" applyFont="1" applyFill="1" applyBorder="1" applyAlignment="1">
      <alignment horizontal="right" vertical="top"/>
    </xf>
    <xf numFmtId="167" fontId="17" fillId="35" borderId="0" xfId="57" applyNumberFormat="1" applyFont="1" applyFill="1" applyBorder="1" applyAlignment="1">
      <alignment horizontal="left" vertical="top"/>
      <protection/>
    </xf>
    <xf numFmtId="2" fontId="17" fillId="35" borderId="0" xfId="57" applyNumberFormat="1" applyFont="1" applyFill="1" applyBorder="1" applyAlignment="1">
      <alignment horizontal="left" vertical="top"/>
      <protection/>
    </xf>
    <xf numFmtId="0" fontId="17" fillId="35" borderId="0" xfId="57" applyFont="1" applyFill="1" applyBorder="1" applyAlignment="1">
      <alignment horizontal="left"/>
      <protection/>
    </xf>
    <xf numFmtId="185" fontId="17" fillId="35" borderId="0" xfId="57" applyNumberFormat="1" applyFont="1" applyFill="1" applyBorder="1" applyAlignment="1">
      <alignment horizontal="left" wrapText="1"/>
      <protection/>
    </xf>
    <xf numFmtId="185" fontId="17" fillId="35" borderId="0" xfId="57" applyNumberFormat="1" applyFont="1" applyFill="1" applyBorder="1" applyAlignment="1">
      <alignment horizontal="left" vertical="top" wrapText="1"/>
      <protection/>
    </xf>
    <xf numFmtId="185" fontId="17" fillId="35" borderId="0" xfId="57" applyNumberFormat="1" applyFont="1" applyFill="1" applyBorder="1" applyAlignment="1">
      <alignment horizontal="right" vertical="top" wrapText="1"/>
      <protection/>
    </xf>
    <xf numFmtId="182" fontId="18" fillId="33" borderId="0" xfId="57" applyNumberFormat="1" applyFont="1" applyFill="1" applyBorder="1" applyAlignment="1">
      <alignment horizontal="left" vertical="top"/>
      <protection/>
    </xf>
    <xf numFmtId="185" fontId="17" fillId="33" borderId="0" xfId="57" applyNumberFormat="1" applyFont="1" applyFill="1" applyBorder="1" applyAlignment="1">
      <alignment horizontal="left" wrapText="1"/>
      <protection/>
    </xf>
    <xf numFmtId="185" fontId="18" fillId="33" borderId="0" xfId="57" applyNumberFormat="1" applyFont="1" applyFill="1" applyBorder="1">
      <alignment/>
      <protection/>
    </xf>
    <xf numFmtId="185" fontId="18" fillId="33" borderId="0" xfId="57" applyNumberFormat="1" applyFont="1" applyFill="1" applyBorder="1" applyAlignment="1">
      <alignment wrapText="1"/>
      <protection/>
    </xf>
    <xf numFmtId="185" fontId="18" fillId="33" borderId="0" xfId="57" applyNumberFormat="1" applyFont="1" applyFill="1" applyBorder="1" applyAlignment="1">
      <alignment horizontal="right"/>
      <protection/>
    </xf>
    <xf numFmtId="185" fontId="18" fillId="33" borderId="0" xfId="57" applyNumberFormat="1" applyFont="1" applyFill="1" applyBorder="1" applyAlignment="1">
      <alignment horizontal="right" vertical="top"/>
      <protection/>
    </xf>
    <xf numFmtId="185" fontId="18" fillId="33" borderId="0" xfId="61" applyNumberFormat="1" applyFont="1" applyFill="1" applyBorder="1" applyAlignment="1">
      <alignment horizontal="right" vertical="top"/>
    </xf>
    <xf numFmtId="185" fontId="18" fillId="33" borderId="0" xfId="57" applyNumberFormat="1" applyFont="1" applyFill="1" applyBorder="1" applyAlignment="1">
      <alignment horizontal="left" vertical="top"/>
      <protection/>
    </xf>
    <xf numFmtId="185" fontId="18" fillId="33" borderId="0" xfId="57" applyNumberFormat="1" applyFont="1" applyFill="1" applyBorder="1" applyAlignment="1">
      <alignment horizontal="left"/>
      <protection/>
    </xf>
    <xf numFmtId="185" fontId="18" fillId="33" borderId="0" xfId="57" applyNumberFormat="1" applyFont="1" applyFill="1" applyBorder="1" applyAlignment="1">
      <alignment vertical="top"/>
      <protection/>
    </xf>
    <xf numFmtId="185" fontId="17" fillId="0" borderId="0" xfId="57" applyNumberFormat="1" applyFont="1" applyFill="1" applyBorder="1" applyAlignment="1">
      <alignment horizontal="left" wrapText="1"/>
      <protection/>
    </xf>
    <xf numFmtId="185" fontId="18" fillId="0" borderId="0" xfId="57" applyNumberFormat="1" applyFont="1" applyBorder="1">
      <alignment/>
      <protection/>
    </xf>
    <xf numFmtId="185" fontId="18" fillId="0" borderId="0" xfId="57" applyNumberFormat="1" applyFont="1" applyBorder="1" applyAlignment="1">
      <alignment wrapText="1"/>
      <protection/>
    </xf>
    <xf numFmtId="185" fontId="18" fillId="0" borderId="0" xfId="57" applyNumberFormat="1" applyFont="1" applyBorder="1" applyAlignment="1">
      <alignment horizontal="right"/>
      <protection/>
    </xf>
    <xf numFmtId="185" fontId="18" fillId="0" borderId="0" xfId="57" applyNumberFormat="1" applyFont="1" applyBorder="1" applyAlignment="1">
      <alignment horizontal="right" vertical="top"/>
      <protection/>
    </xf>
    <xf numFmtId="185" fontId="18" fillId="0" borderId="0" xfId="61" applyNumberFormat="1" applyFont="1" applyBorder="1" applyAlignment="1">
      <alignment horizontal="right" vertical="top"/>
    </xf>
    <xf numFmtId="185" fontId="18" fillId="0" borderId="0" xfId="57" applyNumberFormat="1" applyFont="1" applyBorder="1" applyAlignment="1">
      <alignment horizontal="left" vertical="top"/>
      <protection/>
    </xf>
    <xf numFmtId="185" fontId="18" fillId="0" borderId="0" xfId="57" applyNumberFormat="1" applyFont="1" applyBorder="1" applyAlignment="1">
      <alignment vertical="top"/>
      <protection/>
    </xf>
    <xf numFmtId="185" fontId="18" fillId="0" borderId="0" xfId="57" applyNumberFormat="1" applyFont="1" applyBorder="1" applyAlignment="1">
      <alignment horizontal="left"/>
      <protection/>
    </xf>
    <xf numFmtId="185" fontId="17" fillId="35" borderId="0" xfId="57" applyNumberFormat="1" applyFont="1" applyFill="1" applyBorder="1">
      <alignment/>
      <protection/>
    </xf>
    <xf numFmtId="185" fontId="17" fillId="35" borderId="0" xfId="57" applyNumberFormat="1" applyFont="1" applyFill="1" applyBorder="1" applyAlignment="1">
      <alignment wrapText="1"/>
      <protection/>
    </xf>
    <xf numFmtId="185" fontId="17" fillId="35" borderId="0" xfId="57" applyNumberFormat="1" applyFont="1" applyFill="1" applyBorder="1" applyAlignment="1">
      <alignment horizontal="right"/>
      <protection/>
    </xf>
    <xf numFmtId="185" fontId="17" fillId="35" borderId="0" xfId="57" applyNumberFormat="1" applyFont="1" applyFill="1" applyBorder="1" applyAlignment="1">
      <alignment horizontal="right" vertical="top"/>
      <protection/>
    </xf>
    <xf numFmtId="185" fontId="17" fillId="35" borderId="0" xfId="61" applyNumberFormat="1" applyFont="1" applyFill="1" applyBorder="1" applyAlignment="1">
      <alignment horizontal="right" vertical="top"/>
    </xf>
    <xf numFmtId="185" fontId="17" fillId="35" borderId="0" xfId="57" applyNumberFormat="1" applyFont="1" applyFill="1" applyBorder="1" applyAlignment="1">
      <alignment horizontal="left" vertical="top"/>
      <protection/>
    </xf>
    <xf numFmtId="185" fontId="17" fillId="35" borderId="0" xfId="57" applyNumberFormat="1" applyFont="1" applyFill="1" applyBorder="1" applyAlignment="1">
      <alignment vertical="top"/>
      <protection/>
    </xf>
    <xf numFmtId="185" fontId="17" fillId="35" borderId="0" xfId="57" applyNumberFormat="1" applyFont="1" applyFill="1" applyBorder="1" applyAlignment="1">
      <alignment horizontal="left"/>
      <protection/>
    </xf>
    <xf numFmtId="185" fontId="18" fillId="0" borderId="0" xfId="57" applyNumberFormat="1" applyFont="1" applyFill="1" applyBorder="1">
      <alignment/>
      <protection/>
    </xf>
    <xf numFmtId="185" fontId="18" fillId="0" borderId="0" xfId="57" applyNumberFormat="1" applyFont="1" applyFill="1" applyBorder="1" applyAlignment="1">
      <alignment horizontal="left" wrapText="1"/>
      <protection/>
    </xf>
    <xf numFmtId="185" fontId="18" fillId="0" borderId="0" xfId="57" applyNumberFormat="1" applyFont="1" applyFill="1" applyBorder="1" applyAlignment="1">
      <alignment wrapText="1"/>
      <protection/>
    </xf>
    <xf numFmtId="185" fontId="18" fillId="0" borderId="0" xfId="57" applyNumberFormat="1" applyFont="1" applyFill="1" applyBorder="1" applyAlignment="1">
      <alignment horizontal="right"/>
      <protection/>
    </xf>
    <xf numFmtId="185" fontId="18" fillId="0" borderId="0" xfId="57" applyNumberFormat="1" applyFont="1" applyFill="1" applyBorder="1" applyAlignment="1">
      <alignment horizontal="right" vertical="top"/>
      <protection/>
    </xf>
    <xf numFmtId="185" fontId="18" fillId="0" borderId="0" xfId="61" applyNumberFormat="1" applyFont="1" applyFill="1" applyBorder="1" applyAlignment="1">
      <alignment horizontal="right" vertical="top"/>
    </xf>
    <xf numFmtId="185" fontId="18" fillId="0" borderId="0" xfId="57" applyNumberFormat="1" applyFont="1" applyFill="1" applyBorder="1" applyAlignment="1">
      <alignment horizontal="left" vertical="top"/>
      <protection/>
    </xf>
    <xf numFmtId="185" fontId="18" fillId="0" borderId="0" xfId="57" applyNumberFormat="1" applyFont="1" applyFill="1" applyBorder="1" applyAlignment="1">
      <alignment horizontal="left"/>
      <protection/>
    </xf>
    <xf numFmtId="185" fontId="18" fillId="0" borderId="0" xfId="57" applyNumberFormat="1" applyFont="1" applyFill="1" applyBorder="1" applyAlignment="1">
      <alignment horizontal="left" vertical="top" wrapText="1"/>
      <protection/>
    </xf>
    <xf numFmtId="185" fontId="18" fillId="0" borderId="0" xfId="57" applyNumberFormat="1" applyFont="1" applyFill="1" applyBorder="1" applyAlignment="1">
      <alignment horizontal="right" vertical="top" wrapText="1"/>
      <protection/>
    </xf>
    <xf numFmtId="0" fontId="6" fillId="37" borderId="0" xfId="57" applyFont="1" applyFill="1" applyBorder="1">
      <alignment/>
      <protection/>
    </xf>
    <xf numFmtId="167" fontId="6" fillId="37" borderId="0" xfId="57" applyNumberFormat="1" applyFont="1" applyFill="1" applyBorder="1" applyAlignment="1">
      <alignment horizontal="right" vertical="top"/>
      <protection/>
    </xf>
    <xf numFmtId="0" fontId="14" fillId="33" borderId="0" xfId="57" applyFont="1" applyFill="1" applyBorder="1">
      <alignment/>
      <protection/>
    </xf>
    <xf numFmtId="185" fontId="14" fillId="33" borderId="0" xfId="57" applyNumberFormat="1" applyFont="1" applyFill="1" applyBorder="1" applyAlignment="1">
      <alignment horizontal="right"/>
      <protection/>
    </xf>
    <xf numFmtId="3" fontId="14" fillId="33" borderId="0" xfId="57" applyNumberFormat="1" applyFont="1" applyFill="1" applyBorder="1" applyAlignment="1">
      <alignment horizontal="right"/>
      <protection/>
    </xf>
    <xf numFmtId="167" fontId="14" fillId="33" borderId="0" xfId="57" applyNumberFormat="1" applyFont="1" applyFill="1" applyBorder="1" applyAlignment="1">
      <alignment horizontal="right" vertical="top"/>
      <protection/>
    </xf>
    <xf numFmtId="185" fontId="14" fillId="33" borderId="0" xfId="57" applyNumberFormat="1" applyFont="1" applyFill="1" applyBorder="1">
      <alignment/>
      <protection/>
    </xf>
    <xf numFmtId="2" fontId="18" fillId="33" borderId="0" xfId="57" applyNumberFormat="1" applyFont="1" applyFill="1">
      <alignment/>
      <protection/>
    </xf>
    <xf numFmtId="3" fontId="2" fillId="0" borderId="0" xfId="57" applyNumberFormat="1" applyFont="1" applyBorder="1" applyAlignment="1">
      <alignment horizontal="right"/>
      <protection/>
    </xf>
    <xf numFmtId="0" fontId="13" fillId="20" borderId="0" xfId="57" applyFont="1" applyFill="1" applyBorder="1">
      <alignment/>
      <protection/>
    </xf>
    <xf numFmtId="3" fontId="13" fillId="20" borderId="0" xfId="57" applyNumberFormat="1" applyFont="1" applyFill="1" applyBorder="1" applyAlignment="1">
      <alignment horizontal="right"/>
      <protection/>
    </xf>
    <xf numFmtId="0" fontId="13" fillId="33" borderId="0" xfId="57" applyFont="1" applyFill="1" applyBorder="1">
      <alignment/>
      <protection/>
    </xf>
    <xf numFmtId="3" fontId="13" fillId="33" borderId="0" xfId="57" applyNumberFormat="1" applyFont="1" applyFill="1" applyBorder="1" applyAlignment="1">
      <alignment horizontal="right"/>
      <protection/>
    </xf>
    <xf numFmtId="0" fontId="14" fillId="38" borderId="0" xfId="57" applyFont="1" applyFill="1" applyBorder="1">
      <alignment/>
      <protection/>
    </xf>
    <xf numFmtId="3" fontId="14" fillId="38" borderId="0" xfId="57" applyNumberFormat="1" applyFont="1" applyFill="1" applyBorder="1" applyAlignment="1">
      <alignment horizontal="right"/>
      <protection/>
    </xf>
    <xf numFmtId="0" fontId="14" fillId="0" borderId="0" xfId="57" applyFont="1" applyFill="1" applyBorder="1">
      <alignment/>
      <protection/>
    </xf>
    <xf numFmtId="3" fontId="14" fillId="0" borderId="0" xfId="57" applyNumberFormat="1" applyFont="1" applyFill="1" applyBorder="1" applyAlignment="1">
      <alignment horizontal="right"/>
      <protection/>
    </xf>
    <xf numFmtId="0" fontId="14" fillId="0" borderId="0" xfId="57" applyFont="1" applyBorder="1">
      <alignment/>
      <protection/>
    </xf>
    <xf numFmtId="3" fontId="14" fillId="0" borderId="0" xfId="57" applyNumberFormat="1" applyFont="1" applyBorder="1" applyAlignment="1">
      <alignment horizontal="right"/>
      <protection/>
    </xf>
    <xf numFmtId="0" fontId="17" fillId="0" borderId="0" xfId="57" applyFont="1">
      <alignment/>
      <protection/>
    </xf>
    <xf numFmtId="2" fontId="17" fillId="0" borderId="0" xfId="57" applyNumberFormat="1" applyFont="1">
      <alignment/>
      <protection/>
    </xf>
    <xf numFmtId="9" fontId="17" fillId="0" borderId="0" xfId="61" applyFont="1" applyAlignment="1">
      <alignment/>
    </xf>
    <xf numFmtId="0" fontId="17" fillId="0" borderId="0" xfId="57" applyFont="1" applyAlignment="1">
      <alignment horizontal="left"/>
      <protection/>
    </xf>
    <xf numFmtId="0" fontId="18" fillId="0" borderId="0" xfId="57" applyFont="1" applyAlignment="1">
      <alignment horizontal="left"/>
      <protection/>
    </xf>
    <xf numFmtId="0" fontId="17" fillId="34" borderId="0" xfId="57" applyFont="1" applyFill="1" applyBorder="1" applyAlignment="1">
      <alignment horizontal="left" wrapText="1"/>
      <protection/>
    </xf>
    <xf numFmtId="0" fontId="18" fillId="34" borderId="0" xfId="57" applyFont="1" applyFill="1" applyBorder="1">
      <alignment/>
      <protection/>
    </xf>
    <xf numFmtId="49" fontId="17" fillId="34" borderId="0" xfId="57" applyNumberFormat="1" applyFont="1" applyFill="1" applyBorder="1" applyAlignment="1">
      <alignment horizontal="left" wrapText="1"/>
      <protection/>
    </xf>
    <xf numFmtId="0" fontId="17" fillId="34" borderId="0" xfId="57" applyFont="1" applyFill="1" applyBorder="1" applyAlignment="1">
      <alignment wrapText="1"/>
      <protection/>
    </xf>
    <xf numFmtId="3" fontId="17" fillId="34" borderId="0" xfId="57" applyNumberFormat="1" applyFont="1" applyFill="1" applyBorder="1" applyAlignment="1">
      <alignment horizontal="right"/>
      <protection/>
    </xf>
    <xf numFmtId="0" fontId="17" fillId="34" borderId="0" xfId="57" applyFont="1" applyFill="1" applyBorder="1">
      <alignment/>
      <protection/>
    </xf>
    <xf numFmtId="2" fontId="17" fillId="34" borderId="0" xfId="57" applyNumberFormat="1" applyFont="1" applyFill="1" applyBorder="1">
      <alignment/>
      <protection/>
    </xf>
    <xf numFmtId="0" fontId="17" fillId="34" borderId="0" xfId="57" applyFont="1" applyFill="1">
      <alignment/>
      <protection/>
    </xf>
    <xf numFmtId="9" fontId="17" fillId="34" borderId="0" xfId="61" applyFont="1" applyFill="1" applyAlignment="1">
      <alignment/>
    </xf>
    <xf numFmtId="0" fontId="17" fillId="34" borderId="0" xfId="57" applyFont="1" applyFill="1" applyAlignment="1">
      <alignment horizontal="left"/>
      <protection/>
    </xf>
    <xf numFmtId="2" fontId="18" fillId="0" borderId="0" xfId="57" applyNumberFormat="1" applyFont="1" applyBorder="1">
      <alignment/>
      <protection/>
    </xf>
    <xf numFmtId="9" fontId="18" fillId="0" borderId="0" xfId="61" applyFont="1" applyBorder="1" applyAlignment="1">
      <alignment/>
    </xf>
    <xf numFmtId="2" fontId="17" fillId="35" borderId="0" xfId="57" applyNumberFormat="1" applyFont="1" applyFill="1" applyBorder="1">
      <alignment/>
      <protection/>
    </xf>
    <xf numFmtId="9" fontId="17" fillId="35" borderId="0" xfId="61" applyFont="1" applyFill="1" applyBorder="1" applyAlignment="1">
      <alignment/>
    </xf>
    <xf numFmtId="0" fontId="17" fillId="39" borderId="0" xfId="57" applyFont="1" applyFill="1" applyBorder="1" applyAlignment="1">
      <alignment horizontal="left" wrapText="1"/>
      <protection/>
    </xf>
    <xf numFmtId="0" fontId="18" fillId="39" borderId="0" xfId="57" applyFont="1" applyFill="1" applyBorder="1">
      <alignment/>
      <protection/>
    </xf>
    <xf numFmtId="49" fontId="18" fillId="39" borderId="0" xfId="57" applyNumberFormat="1" applyFont="1" applyFill="1" applyBorder="1" applyAlignment="1">
      <alignment horizontal="left" wrapText="1"/>
      <protection/>
    </xf>
    <xf numFmtId="0" fontId="18" fillId="39" borderId="0" xfId="57" applyFont="1" applyFill="1" applyBorder="1" applyAlignment="1">
      <alignment wrapText="1"/>
      <protection/>
    </xf>
    <xf numFmtId="3" fontId="18" fillId="39" borderId="0" xfId="57" applyNumberFormat="1" applyFont="1" applyFill="1" applyBorder="1" applyAlignment="1">
      <alignment horizontal="right"/>
      <protection/>
    </xf>
    <xf numFmtId="2" fontId="18" fillId="39" borderId="0" xfId="57" applyNumberFormat="1" applyFont="1" applyFill="1" applyBorder="1">
      <alignment/>
      <protection/>
    </xf>
    <xf numFmtId="9" fontId="18" fillId="39" borderId="0" xfId="61" applyFont="1" applyFill="1" applyBorder="1" applyAlignment="1">
      <alignment/>
    </xf>
    <xf numFmtId="0" fontId="18" fillId="39" borderId="0" xfId="57" applyFont="1" applyFill="1" applyBorder="1" applyAlignment="1">
      <alignment horizontal="left"/>
      <protection/>
    </xf>
    <xf numFmtId="9" fontId="18" fillId="33" borderId="0" xfId="61" applyFont="1" applyFill="1" applyBorder="1" applyAlignment="1">
      <alignment/>
    </xf>
    <xf numFmtId="0" fontId="18" fillId="33" borderId="0" xfId="57" applyNumberFormat="1" applyFont="1" applyFill="1" applyBorder="1">
      <alignment/>
      <protection/>
    </xf>
    <xf numFmtId="0" fontId="18" fillId="0" borderId="0" xfId="57" applyFont="1" applyFill="1" applyBorder="1">
      <alignment/>
      <protection/>
    </xf>
    <xf numFmtId="49" fontId="18" fillId="0" borderId="0" xfId="57" applyNumberFormat="1" applyFont="1" applyFill="1" applyBorder="1" applyAlignment="1">
      <alignment horizontal="left" wrapText="1"/>
      <protection/>
    </xf>
    <xf numFmtId="0" fontId="18" fillId="0" borderId="0" xfId="57" applyFont="1" applyFill="1" applyBorder="1" applyAlignment="1">
      <alignment wrapText="1"/>
      <protection/>
    </xf>
    <xf numFmtId="3" fontId="18" fillId="0" borderId="0" xfId="57" applyNumberFormat="1" applyFont="1" applyFill="1" applyBorder="1" applyAlignment="1">
      <alignment horizontal="right"/>
      <protection/>
    </xf>
    <xf numFmtId="2" fontId="18" fillId="0" borderId="0" xfId="57" applyNumberFormat="1" applyFont="1" applyFill="1" applyBorder="1">
      <alignment/>
      <protection/>
    </xf>
    <xf numFmtId="9" fontId="18" fillId="0" borderId="0" xfId="61" applyFont="1" applyFill="1" applyBorder="1" applyAlignment="1">
      <alignment/>
    </xf>
    <xf numFmtId="0" fontId="18" fillId="0" borderId="0" xfId="57" applyFont="1" applyFill="1" applyBorder="1" applyAlignment="1">
      <alignment horizontal="left"/>
      <protection/>
    </xf>
    <xf numFmtId="9" fontId="18" fillId="38" borderId="0" xfId="61" applyFont="1" applyFill="1" applyBorder="1" applyAlignment="1">
      <alignment/>
    </xf>
    <xf numFmtId="0" fontId="19" fillId="33" borderId="0" xfId="57" applyFont="1" applyFill="1">
      <alignment/>
      <protection/>
    </xf>
    <xf numFmtId="1" fontId="18" fillId="0" borderId="0" xfId="61" applyNumberFormat="1" applyFont="1" applyFill="1" applyBorder="1" applyAlignment="1">
      <alignment/>
    </xf>
    <xf numFmtId="0" fontId="18" fillId="33" borderId="0" xfId="57" applyNumberFormat="1" applyFont="1" applyFill="1" applyBorder="1" applyAlignment="1">
      <alignment horizontal="right" vertical="top"/>
      <protection/>
    </xf>
    <xf numFmtId="3" fontId="18" fillId="33" borderId="0" xfId="57" applyNumberFormat="1" applyFont="1" applyFill="1" applyBorder="1" applyAlignment="1">
      <alignment horizontal="right" vertical="top"/>
      <protection/>
    </xf>
    <xf numFmtId="0" fontId="18" fillId="33" borderId="0" xfId="57" applyNumberFormat="1" applyFont="1" applyFill="1" applyBorder="1" applyAlignment="1">
      <alignment horizontal="left" vertical="top"/>
      <protection/>
    </xf>
    <xf numFmtId="167" fontId="18" fillId="0" borderId="0" xfId="57" applyNumberFormat="1" applyFont="1" applyFill="1" applyBorder="1" applyAlignment="1">
      <alignment horizontal="right" vertical="top"/>
      <protection/>
    </xf>
    <xf numFmtId="2" fontId="18" fillId="0" borderId="0" xfId="57" applyNumberFormat="1" applyFont="1" applyFill="1" applyBorder="1" applyAlignment="1">
      <alignment horizontal="right" vertical="top"/>
      <protection/>
    </xf>
    <xf numFmtId="9" fontId="18" fillId="0" borderId="0" xfId="61" applyFont="1" applyFill="1" applyBorder="1" applyAlignment="1">
      <alignment horizontal="right" vertical="top"/>
    </xf>
    <xf numFmtId="167" fontId="18" fillId="0" borderId="0" xfId="57" applyNumberFormat="1" applyFont="1" applyFill="1" applyBorder="1" applyAlignment="1">
      <alignment horizontal="left" vertical="top"/>
      <protection/>
    </xf>
    <xf numFmtId="0" fontId="17" fillId="25" borderId="0" xfId="57" applyFont="1" applyFill="1" applyBorder="1" applyAlignment="1">
      <alignment horizontal="left" wrapText="1"/>
      <protection/>
    </xf>
    <xf numFmtId="0" fontId="18" fillId="25" borderId="0" xfId="57" applyFont="1" applyFill="1" applyBorder="1">
      <alignment/>
      <protection/>
    </xf>
    <xf numFmtId="49" fontId="18" fillId="25" borderId="0" xfId="57" applyNumberFormat="1" applyFont="1" applyFill="1" applyBorder="1" applyAlignment="1">
      <alignment horizontal="left" wrapText="1"/>
      <protection/>
    </xf>
    <xf numFmtId="0" fontId="18" fillId="25" borderId="0" xfId="57" applyFont="1" applyFill="1" applyBorder="1" applyAlignment="1">
      <alignment wrapText="1"/>
      <protection/>
    </xf>
    <xf numFmtId="3" fontId="18" fillId="25" borderId="0" xfId="57" applyNumberFormat="1" applyFont="1" applyFill="1" applyBorder="1" applyAlignment="1">
      <alignment horizontal="right"/>
      <protection/>
    </xf>
    <xf numFmtId="167" fontId="18" fillId="25" borderId="0" xfId="57" applyNumberFormat="1" applyFont="1" applyFill="1" applyBorder="1" applyAlignment="1">
      <alignment horizontal="right" vertical="top"/>
      <protection/>
    </xf>
    <xf numFmtId="2" fontId="18" fillId="25" borderId="0" xfId="57" applyNumberFormat="1" applyFont="1" applyFill="1" applyBorder="1" applyAlignment="1">
      <alignment horizontal="right" vertical="top"/>
      <protection/>
    </xf>
    <xf numFmtId="9" fontId="18" fillId="25" borderId="0" xfId="61" applyFont="1" applyFill="1" applyBorder="1" applyAlignment="1">
      <alignment horizontal="right" vertical="top"/>
    </xf>
    <xf numFmtId="167" fontId="18" fillId="25" borderId="0" xfId="57" applyNumberFormat="1" applyFont="1" applyFill="1" applyBorder="1" applyAlignment="1">
      <alignment horizontal="left" vertical="top"/>
      <protection/>
    </xf>
    <xf numFmtId="0" fontId="18" fillId="25" borderId="0" xfId="57" applyFont="1" applyFill="1" applyBorder="1" applyAlignment="1">
      <alignment horizontal="left"/>
      <protection/>
    </xf>
    <xf numFmtId="188" fontId="18" fillId="33" borderId="0" xfId="57" applyNumberFormat="1" applyFont="1" applyFill="1" applyBorder="1" applyAlignment="1">
      <alignment horizontal="left" vertical="top"/>
      <protection/>
    </xf>
    <xf numFmtId="167" fontId="18" fillId="33" borderId="0" xfId="57" applyNumberFormat="1" applyFont="1" applyFill="1" applyBorder="1">
      <alignment/>
      <protection/>
    </xf>
    <xf numFmtId="167" fontId="18" fillId="39" borderId="0" xfId="57" applyNumberFormat="1" applyFont="1" applyFill="1" applyBorder="1" applyAlignment="1">
      <alignment horizontal="right" vertical="top"/>
      <protection/>
    </xf>
    <xf numFmtId="2" fontId="18" fillId="39" borderId="0" xfId="57" applyNumberFormat="1" applyFont="1" applyFill="1" applyBorder="1" applyAlignment="1">
      <alignment horizontal="right" vertical="top"/>
      <protection/>
    </xf>
    <xf numFmtId="9" fontId="18" fillId="39" borderId="0" xfId="61" applyFont="1" applyFill="1" applyBorder="1" applyAlignment="1">
      <alignment horizontal="right" vertical="top"/>
    </xf>
    <xf numFmtId="167" fontId="18" fillId="39" borderId="0" xfId="57" applyNumberFormat="1" applyFont="1" applyFill="1" applyBorder="1" applyAlignment="1">
      <alignment horizontal="left" vertical="top"/>
      <protection/>
    </xf>
    <xf numFmtId="4" fontId="18" fillId="0" borderId="0" xfId="57" applyNumberFormat="1" applyFont="1" applyFill="1" applyBorder="1" applyAlignment="1">
      <alignment horizontal="left" vertical="top"/>
      <protection/>
    </xf>
    <xf numFmtId="4" fontId="17" fillId="35" borderId="0" xfId="57" applyNumberFormat="1" applyFont="1" applyFill="1" applyBorder="1" applyAlignment="1">
      <alignment horizontal="left" vertical="top"/>
      <protection/>
    </xf>
    <xf numFmtId="4" fontId="18" fillId="0" borderId="0" xfId="57" applyNumberFormat="1" applyFont="1" applyBorder="1" applyAlignment="1">
      <alignment horizontal="left" vertical="top"/>
      <protection/>
    </xf>
    <xf numFmtId="2" fontId="18" fillId="0" borderId="0" xfId="57" applyNumberFormat="1" applyFont="1" applyBorder="1" applyAlignment="1">
      <alignment horizontal="left"/>
      <protection/>
    </xf>
    <xf numFmtId="2" fontId="18" fillId="38" borderId="0" xfId="57" applyNumberFormat="1" applyFont="1" applyFill="1" applyBorder="1" applyAlignment="1">
      <alignment horizontal="left" vertical="top"/>
      <protection/>
    </xf>
    <xf numFmtId="2" fontId="18" fillId="38" borderId="0" xfId="57" applyNumberFormat="1" applyFont="1" applyFill="1" applyBorder="1" applyAlignment="1">
      <alignment horizontal="left"/>
      <protection/>
    </xf>
    <xf numFmtId="2" fontId="17" fillId="35" borderId="0" xfId="57" applyNumberFormat="1" applyFont="1" applyFill="1" applyBorder="1" applyAlignment="1">
      <alignment horizontal="left"/>
      <protection/>
    </xf>
    <xf numFmtId="0" fontId="18" fillId="37" borderId="0" xfId="57" applyFont="1" applyFill="1" applyBorder="1">
      <alignment/>
      <protection/>
    </xf>
    <xf numFmtId="167" fontId="18" fillId="37" borderId="0" xfId="57" applyNumberFormat="1" applyFont="1" applyFill="1" applyBorder="1" applyAlignment="1">
      <alignment horizontal="right" vertical="top"/>
      <protection/>
    </xf>
    <xf numFmtId="2" fontId="18" fillId="37" borderId="0" xfId="57" applyNumberFormat="1" applyFont="1" applyFill="1" applyBorder="1" applyAlignment="1">
      <alignment horizontal="right" vertical="top"/>
      <protection/>
    </xf>
    <xf numFmtId="9" fontId="18" fillId="37" borderId="0" xfId="61" applyFont="1" applyFill="1" applyBorder="1" applyAlignment="1">
      <alignment horizontal="right" vertical="top"/>
    </xf>
    <xf numFmtId="167" fontId="18" fillId="37" borderId="0" xfId="57" applyNumberFormat="1" applyFont="1" applyFill="1" applyBorder="1" applyAlignment="1">
      <alignment horizontal="left" vertical="top"/>
      <protection/>
    </xf>
    <xf numFmtId="0" fontId="18" fillId="37" borderId="0" xfId="57" applyFont="1" applyFill="1" applyBorder="1" applyAlignment="1">
      <alignment horizontal="left"/>
      <protection/>
    </xf>
    <xf numFmtId="10" fontId="18" fillId="33" borderId="0" xfId="61" applyNumberFormat="1" applyFont="1" applyFill="1" applyBorder="1" applyAlignment="1">
      <alignment horizontal="right"/>
    </xf>
    <xf numFmtId="3" fontId="18" fillId="33" borderId="0" xfId="57" applyNumberFormat="1" applyFont="1" applyFill="1" applyBorder="1" applyAlignment="1">
      <alignment horizontal="left"/>
      <protection/>
    </xf>
    <xf numFmtId="185" fontId="18" fillId="33" borderId="0" xfId="57" applyNumberFormat="1" applyFont="1" applyFill="1" applyBorder="1" applyAlignment="1">
      <alignment horizontal="right" wrapText="1"/>
      <protection/>
    </xf>
    <xf numFmtId="10" fontId="18" fillId="33" borderId="0" xfId="61" applyNumberFormat="1" applyFont="1" applyFill="1" applyBorder="1" applyAlignment="1">
      <alignment horizontal="right" vertical="top"/>
    </xf>
    <xf numFmtId="2" fontId="18" fillId="33" borderId="0" xfId="57" applyNumberFormat="1" applyFont="1" applyFill="1" applyBorder="1" applyAlignment="1">
      <alignment horizontal="right"/>
      <protection/>
    </xf>
    <xf numFmtId="2" fontId="18" fillId="0" borderId="0" xfId="57" applyNumberFormat="1" applyFont="1" applyBorder="1" applyAlignment="1">
      <alignment horizontal="right"/>
      <protection/>
    </xf>
    <xf numFmtId="9" fontId="18" fillId="0" borderId="0" xfId="61" applyFont="1" applyBorder="1" applyAlignment="1">
      <alignment horizontal="right"/>
    </xf>
    <xf numFmtId="3" fontId="18" fillId="0" borderId="0" xfId="57" applyNumberFormat="1" applyFont="1" applyBorder="1" applyAlignment="1">
      <alignment horizontal="left"/>
      <protection/>
    </xf>
    <xf numFmtId="0" fontId="17" fillId="20" borderId="0" xfId="57" applyFont="1" applyFill="1" applyBorder="1">
      <alignment/>
      <protection/>
    </xf>
    <xf numFmtId="3" fontId="17" fillId="20" borderId="0" xfId="57" applyNumberFormat="1" applyFont="1" applyFill="1" applyBorder="1" applyAlignment="1">
      <alignment horizontal="right"/>
      <protection/>
    </xf>
    <xf numFmtId="2" fontId="17" fillId="20" borderId="0" xfId="57" applyNumberFormat="1" applyFont="1" applyFill="1" applyBorder="1">
      <alignment/>
      <protection/>
    </xf>
    <xf numFmtId="0" fontId="17" fillId="20" borderId="0" xfId="57" applyFont="1" applyFill="1" applyBorder="1" applyAlignment="1">
      <alignment horizontal="left"/>
      <protection/>
    </xf>
    <xf numFmtId="3" fontId="17" fillId="20" borderId="0" xfId="57" applyNumberFormat="1" applyFont="1" applyFill="1" applyBorder="1" applyAlignment="1">
      <alignment horizontal="left"/>
      <protection/>
    </xf>
    <xf numFmtId="0" fontId="17" fillId="33" borderId="0" xfId="57" applyFont="1" applyFill="1" applyBorder="1">
      <alignment/>
      <protection/>
    </xf>
    <xf numFmtId="3" fontId="17" fillId="33" borderId="0" xfId="57" applyNumberFormat="1" applyFont="1" applyFill="1" applyBorder="1" applyAlignment="1">
      <alignment horizontal="right"/>
      <protection/>
    </xf>
    <xf numFmtId="2" fontId="17" fillId="33" borderId="0" xfId="57" applyNumberFormat="1" applyFont="1" applyFill="1" applyBorder="1">
      <alignment/>
      <protection/>
    </xf>
    <xf numFmtId="0" fontId="17" fillId="33" borderId="0" xfId="57" applyFont="1" applyFill="1" applyBorder="1" applyAlignment="1">
      <alignment horizontal="left"/>
      <protection/>
    </xf>
    <xf numFmtId="3" fontId="17" fillId="33" borderId="0" xfId="57" applyNumberFormat="1" applyFont="1" applyFill="1" applyBorder="1" applyAlignment="1">
      <alignment horizontal="left"/>
      <protection/>
    </xf>
    <xf numFmtId="4" fontId="18" fillId="33" borderId="0" xfId="57" applyNumberFormat="1" applyFont="1" applyFill="1" applyBorder="1" applyAlignment="1">
      <alignment horizontal="left"/>
      <protection/>
    </xf>
    <xf numFmtId="0" fontId="18" fillId="33" borderId="0" xfId="57" applyFont="1" applyFill="1" applyBorder="1" applyAlignment="1">
      <alignment/>
      <protection/>
    </xf>
    <xf numFmtId="2" fontId="18" fillId="33" borderId="0" xfId="57" applyNumberFormat="1" applyFont="1" applyFill="1" applyBorder="1" applyAlignment="1">
      <alignment/>
      <protection/>
    </xf>
    <xf numFmtId="189" fontId="18" fillId="33" borderId="0" xfId="57" applyNumberFormat="1" applyFont="1" applyFill="1" applyBorder="1" applyAlignment="1">
      <alignment horizontal="left"/>
      <protection/>
    </xf>
    <xf numFmtId="2" fontId="18" fillId="33" borderId="0" xfId="57" applyNumberFormat="1" applyFont="1" applyFill="1" applyBorder="1" applyAlignment="1">
      <alignment vertical="top"/>
      <protection/>
    </xf>
    <xf numFmtId="9" fontId="18" fillId="33" borderId="0" xfId="61" applyFont="1" applyFill="1" applyBorder="1" applyAlignment="1">
      <alignment vertical="top"/>
    </xf>
    <xf numFmtId="9" fontId="18" fillId="33" borderId="0" xfId="61" applyFont="1" applyFill="1" applyBorder="1" applyAlignment="1">
      <alignment/>
    </xf>
    <xf numFmtId="182" fontId="18" fillId="33" borderId="0" xfId="57" applyNumberFormat="1" applyFont="1" applyFill="1" applyBorder="1" applyAlignment="1">
      <alignment horizontal="left"/>
      <protection/>
    </xf>
    <xf numFmtId="182" fontId="20" fillId="33" borderId="0" xfId="53" applyNumberFormat="1" applyFont="1" applyFill="1" applyBorder="1" applyAlignment="1" applyProtection="1">
      <alignment horizontal="left" vertical="top"/>
      <protection/>
    </xf>
    <xf numFmtId="0" fontId="18" fillId="38" borderId="0" xfId="57" applyFont="1" applyFill="1" applyBorder="1" applyAlignment="1">
      <alignment/>
      <protection/>
    </xf>
    <xf numFmtId="2" fontId="18" fillId="38" borderId="0" xfId="57" applyNumberFormat="1" applyFont="1" applyFill="1" applyBorder="1" applyAlignment="1">
      <alignment/>
      <protection/>
    </xf>
    <xf numFmtId="9" fontId="18" fillId="38" borderId="0" xfId="61" applyFont="1" applyFill="1" applyBorder="1" applyAlignment="1">
      <alignment/>
    </xf>
    <xf numFmtId="182" fontId="18" fillId="38" borderId="0" xfId="57" applyNumberFormat="1" applyFont="1" applyFill="1" applyBorder="1" applyAlignment="1">
      <alignment horizontal="left"/>
      <protection/>
    </xf>
    <xf numFmtId="3" fontId="18" fillId="38" borderId="0" xfId="57" applyNumberFormat="1" applyFont="1" applyFill="1" applyBorder="1" applyAlignment="1">
      <alignment horizontal="left"/>
      <protection/>
    </xf>
    <xf numFmtId="2" fontId="18" fillId="33" borderId="0" xfId="57" applyNumberFormat="1" applyFont="1" applyFill="1" applyAlignment="1">
      <alignment horizontal="left"/>
      <protection/>
    </xf>
    <xf numFmtId="2" fontId="18" fillId="0" borderId="0" xfId="57" applyNumberFormat="1" applyFont="1" applyFill="1" applyBorder="1" applyAlignment="1">
      <alignment horizontal="left"/>
      <protection/>
    </xf>
    <xf numFmtId="3" fontId="18" fillId="0" borderId="0" xfId="57" applyNumberFormat="1" applyFont="1" applyFill="1" applyBorder="1" applyAlignment="1">
      <alignment/>
      <protection/>
    </xf>
    <xf numFmtId="2" fontId="18" fillId="0" borderId="0" xfId="57" applyNumberFormat="1" applyFont="1" applyFill="1" applyBorder="1" applyAlignment="1">
      <alignment/>
      <protection/>
    </xf>
    <xf numFmtId="2" fontId="18" fillId="0" borderId="0" xfId="57" applyNumberFormat="1" applyFont="1" applyFill="1" applyBorder="1" applyAlignment="1">
      <alignment horizontal="left" vertical="top"/>
      <protection/>
    </xf>
    <xf numFmtId="182" fontId="18" fillId="0" borderId="0" xfId="57" applyNumberFormat="1" applyFont="1" applyFill="1" applyBorder="1" applyAlignment="1">
      <alignment horizontal="left"/>
      <protection/>
    </xf>
    <xf numFmtId="3" fontId="18" fillId="0" borderId="0" xfId="57" applyNumberFormat="1" applyFont="1" applyFill="1" applyBorder="1" applyAlignment="1">
      <alignment horizontal="left"/>
      <protection/>
    </xf>
    <xf numFmtId="3" fontId="18" fillId="33" borderId="0" xfId="57" applyNumberFormat="1" applyFont="1" applyFill="1" applyBorder="1" applyAlignment="1">
      <alignment/>
      <protection/>
    </xf>
    <xf numFmtId="185" fontId="18" fillId="33" borderId="0" xfId="57" applyNumberFormat="1" applyFont="1" applyFill="1" applyBorder="1" applyAlignment="1">
      <alignment/>
      <protection/>
    </xf>
    <xf numFmtId="185" fontId="18" fillId="33" borderId="0" xfId="61" applyNumberFormat="1" applyFont="1" applyFill="1" applyBorder="1" applyAlignment="1">
      <alignment/>
    </xf>
    <xf numFmtId="9" fontId="18" fillId="33" borderId="0" xfId="61" applyFont="1" applyFill="1" applyBorder="1" applyAlignment="1">
      <alignment horizontal="right"/>
    </xf>
    <xf numFmtId="1" fontId="18" fillId="0" borderId="0" xfId="61" applyNumberFormat="1" applyFont="1" applyBorder="1" applyAlignment="1">
      <alignment horizontal="right"/>
    </xf>
    <xf numFmtId="0" fontId="17" fillId="40" borderId="0" xfId="57" applyFont="1" applyFill="1" applyBorder="1">
      <alignment/>
      <protection/>
    </xf>
    <xf numFmtId="9" fontId="18" fillId="0" borderId="0" xfId="57" applyNumberFormat="1" applyFont="1" applyBorder="1">
      <alignment/>
      <protection/>
    </xf>
    <xf numFmtId="0" fontId="17" fillId="36" borderId="0" xfId="57" applyFont="1" applyFill="1" applyBorder="1">
      <alignment/>
      <protection/>
    </xf>
    <xf numFmtId="167" fontId="17" fillId="36" borderId="0" xfId="57" applyNumberFormat="1" applyFont="1" applyFill="1" applyBorder="1" applyAlignment="1">
      <alignment horizontal="right" vertical="top"/>
      <protection/>
    </xf>
    <xf numFmtId="0" fontId="18" fillId="40" borderId="0" xfId="57" applyFont="1" applyFill="1" applyAlignment="1">
      <alignment vertical="center" wrapText="1"/>
      <protection/>
    </xf>
    <xf numFmtId="0" fontId="18" fillId="40" borderId="0" xfId="57" applyFont="1" applyFill="1">
      <alignment/>
      <protection/>
    </xf>
    <xf numFmtId="0" fontId="18" fillId="40" borderId="0" xfId="57" applyFont="1" applyFill="1" applyBorder="1">
      <alignment/>
      <protection/>
    </xf>
    <xf numFmtId="0" fontId="18" fillId="36" borderId="0" xfId="57" applyFont="1" applyFill="1" applyBorder="1">
      <alignment/>
      <protection/>
    </xf>
    <xf numFmtId="3" fontId="18" fillId="36" borderId="0" xfId="57" applyNumberFormat="1" applyFont="1" applyFill="1" applyBorder="1" applyAlignment="1">
      <alignment horizontal="right"/>
      <protection/>
    </xf>
    <xf numFmtId="167" fontId="18" fillId="36" borderId="0" xfId="57" applyNumberFormat="1" applyFont="1" applyFill="1" applyBorder="1" applyAlignment="1">
      <alignment horizontal="right" vertical="top"/>
      <protection/>
    </xf>
    <xf numFmtId="2" fontId="18" fillId="36" borderId="0" xfId="57" applyNumberFormat="1" applyFont="1" applyFill="1" applyBorder="1">
      <alignment/>
      <protection/>
    </xf>
    <xf numFmtId="0" fontId="18" fillId="40" borderId="0" xfId="57" applyFont="1" applyFill="1" applyBorder="1" applyAlignment="1">
      <alignment vertical="center" wrapText="1"/>
      <protection/>
    </xf>
    <xf numFmtId="49" fontId="17" fillId="0" borderId="0" xfId="57" applyNumberFormat="1" applyFont="1" applyBorder="1" applyAlignment="1">
      <alignment horizontal="left" wrapText="1"/>
      <protection/>
    </xf>
    <xf numFmtId="3" fontId="17" fillId="0" borderId="0" xfId="57" applyNumberFormat="1" applyFont="1" applyBorder="1" applyAlignment="1">
      <alignment horizontal="right"/>
      <protection/>
    </xf>
    <xf numFmtId="167" fontId="17" fillId="0" borderId="0" xfId="57" applyNumberFormat="1" applyFont="1" applyBorder="1" applyAlignment="1">
      <alignment horizontal="right" vertical="top"/>
      <protection/>
    </xf>
    <xf numFmtId="0" fontId="18" fillId="0" borderId="0" xfId="57" applyFont="1">
      <alignment/>
      <protection/>
    </xf>
    <xf numFmtId="9" fontId="18" fillId="0" borderId="0" xfId="61" applyFont="1" applyAlignment="1">
      <alignment/>
    </xf>
    <xf numFmtId="2" fontId="18" fillId="0" borderId="0" xfId="57" applyNumberFormat="1" applyFont="1">
      <alignment/>
      <protection/>
    </xf>
    <xf numFmtId="3" fontId="18" fillId="0" borderId="0" xfId="57" applyNumberFormat="1" applyFont="1" applyAlignment="1">
      <alignment horizontal="right"/>
      <protection/>
    </xf>
    <xf numFmtId="185" fontId="17" fillId="0" borderId="0" xfId="57" applyNumberFormat="1" applyFont="1" applyAlignment="1">
      <alignment horizontal="left" wrapText="1"/>
      <protection/>
    </xf>
    <xf numFmtId="185" fontId="17" fillId="0" borderId="0" xfId="57" applyNumberFormat="1" applyFont="1" applyAlignment="1">
      <alignment wrapText="1"/>
      <protection/>
    </xf>
    <xf numFmtId="185" fontId="17" fillId="34" borderId="0" xfId="57" applyNumberFormat="1" applyFont="1" applyFill="1" applyAlignment="1">
      <alignment horizontal="left" wrapText="1"/>
      <protection/>
    </xf>
    <xf numFmtId="185" fontId="17" fillId="34" borderId="0" xfId="57" applyNumberFormat="1" applyFont="1" applyFill="1" applyAlignment="1">
      <alignment wrapText="1"/>
      <protection/>
    </xf>
    <xf numFmtId="185" fontId="18" fillId="39" borderId="0" xfId="57" applyNumberFormat="1" applyFont="1" applyFill="1" applyBorder="1" applyAlignment="1">
      <alignment horizontal="left" wrapText="1"/>
      <protection/>
    </xf>
    <xf numFmtId="185" fontId="18" fillId="39" borderId="0" xfId="57" applyNumberFormat="1" applyFont="1" applyFill="1" applyBorder="1" applyAlignment="1">
      <alignment wrapText="1"/>
      <protection/>
    </xf>
    <xf numFmtId="185" fontId="18" fillId="38" borderId="0" xfId="57" applyNumberFormat="1" applyFont="1" applyFill="1" applyBorder="1" applyAlignment="1">
      <alignment wrapText="1"/>
      <protection/>
    </xf>
    <xf numFmtId="185" fontId="18" fillId="25" borderId="0" xfId="57" applyNumberFormat="1" applyFont="1" applyFill="1" applyBorder="1" applyAlignment="1">
      <alignment horizontal="left" wrapText="1"/>
      <protection/>
    </xf>
    <xf numFmtId="185" fontId="18" fillId="25" borderId="0" xfId="57" applyNumberFormat="1" applyFont="1" applyFill="1" applyBorder="1" applyAlignment="1">
      <alignment horizontal="left" vertical="top" wrapText="1"/>
      <protection/>
    </xf>
    <xf numFmtId="185" fontId="18" fillId="25" borderId="0" xfId="57" applyNumberFormat="1" applyFont="1" applyFill="1" applyBorder="1" applyAlignment="1">
      <alignment horizontal="right" vertical="top" wrapText="1"/>
      <protection/>
    </xf>
    <xf numFmtId="185" fontId="18" fillId="39" borderId="0" xfId="57" applyNumberFormat="1" applyFont="1" applyFill="1" applyBorder="1" applyAlignment="1">
      <alignment horizontal="left" vertical="top" wrapText="1"/>
      <protection/>
    </xf>
    <xf numFmtId="185" fontId="18" fillId="39" borderId="0" xfId="57" applyNumberFormat="1" applyFont="1" applyFill="1" applyBorder="1" applyAlignment="1">
      <alignment horizontal="right" vertical="top" wrapText="1"/>
      <protection/>
    </xf>
    <xf numFmtId="185" fontId="18" fillId="37" borderId="0" xfId="57" applyNumberFormat="1" applyFont="1" applyFill="1" applyBorder="1" applyAlignment="1">
      <alignment horizontal="left" wrapText="1"/>
      <protection/>
    </xf>
    <xf numFmtId="185" fontId="18" fillId="37" borderId="0" xfId="57" applyNumberFormat="1" applyFont="1" applyFill="1" applyBorder="1" applyAlignment="1">
      <alignment horizontal="left" vertical="top" wrapText="1"/>
      <protection/>
    </xf>
    <xf numFmtId="185" fontId="18" fillId="37" borderId="0" xfId="57" applyNumberFormat="1" applyFont="1" applyFill="1" applyBorder="1" applyAlignment="1">
      <alignment horizontal="right" vertical="top" wrapText="1"/>
      <protection/>
    </xf>
    <xf numFmtId="185" fontId="18" fillId="0" borderId="0" xfId="57" applyNumberFormat="1" applyFont="1" applyBorder="1" applyAlignment="1">
      <alignment horizontal="right" wrapText="1"/>
      <protection/>
    </xf>
    <xf numFmtId="185" fontId="17" fillId="20" borderId="0" xfId="57" applyNumberFormat="1" applyFont="1" applyFill="1" applyBorder="1" applyAlignment="1">
      <alignment horizontal="left" wrapText="1"/>
      <protection/>
    </xf>
    <xf numFmtId="185" fontId="17" fillId="20" borderId="0" xfId="57" applyNumberFormat="1" applyFont="1" applyFill="1" applyBorder="1" applyAlignment="1">
      <alignment horizontal="right" wrapText="1"/>
      <protection/>
    </xf>
    <xf numFmtId="185" fontId="17" fillId="33" borderId="0" xfId="57" applyNumberFormat="1" applyFont="1" applyFill="1" applyBorder="1" applyAlignment="1">
      <alignment horizontal="right" wrapText="1"/>
      <protection/>
    </xf>
    <xf numFmtId="185" fontId="18" fillId="38" borderId="0" xfId="57" applyNumberFormat="1" applyFont="1" applyFill="1" applyBorder="1" applyAlignment="1">
      <alignment horizontal="right" wrapText="1"/>
      <protection/>
    </xf>
    <xf numFmtId="185" fontId="18" fillId="0" borderId="0" xfId="57" applyNumberFormat="1" applyFont="1" applyFill="1" applyBorder="1" applyAlignment="1">
      <alignment horizontal="right" wrapText="1"/>
      <protection/>
    </xf>
    <xf numFmtId="185" fontId="18" fillId="0" borderId="0" xfId="57" applyNumberFormat="1" applyFont="1" applyAlignment="1">
      <alignment horizontal="left" wrapText="1"/>
      <protection/>
    </xf>
    <xf numFmtId="185" fontId="18" fillId="0" borderId="0" xfId="57" applyNumberFormat="1" applyFont="1" applyAlignment="1">
      <alignment wrapText="1"/>
      <protection/>
    </xf>
    <xf numFmtId="185" fontId="18" fillId="37" borderId="0" xfId="60" applyNumberFormat="1" applyFont="1" applyFill="1" applyAlignment="1">
      <alignment/>
    </xf>
    <xf numFmtId="185" fontId="1" fillId="0" borderId="0" xfId="57" applyNumberFormat="1" applyFont="1" applyBorder="1">
      <alignment/>
      <protection/>
    </xf>
    <xf numFmtId="0" fontId="13" fillId="41" borderId="0" xfId="57" applyFont="1" applyFill="1" applyBorder="1" applyAlignment="1">
      <alignment horizontal="left" wrapText="1"/>
      <protection/>
    </xf>
    <xf numFmtId="0" fontId="13" fillId="41" borderId="0" xfId="57" applyFont="1" applyFill="1" applyBorder="1" applyAlignment="1">
      <alignment horizontal="left"/>
      <protection/>
    </xf>
    <xf numFmtId="49" fontId="13" fillId="41" borderId="0" xfId="57" applyNumberFormat="1" applyFont="1" applyFill="1" applyBorder="1" applyAlignment="1">
      <alignment horizontal="left" wrapText="1"/>
      <protection/>
    </xf>
    <xf numFmtId="0" fontId="13" fillId="41" borderId="0" xfId="57" applyFont="1" applyFill="1" applyBorder="1" applyAlignment="1">
      <alignment wrapText="1"/>
      <protection/>
    </xf>
    <xf numFmtId="3" fontId="13" fillId="41" borderId="0" xfId="57" applyNumberFormat="1" applyFont="1" applyFill="1" applyBorder="1" applyAlignment="1">
      <alignment horizontal="right"/>
      <protection/>
    </xf>
    <xf numFmtId="0" fontId="13" fillId="41" borderId="0" xfId="57" applyFont="1" applyFill="1">
      <alignment/>
      <protection/>
    </xf>
    <xf numFmtId="185" fontId="13" fillId="41" borderId="0" xfId="57" applyNumberFormat="1" applyFont="1" applyFill="1">
      <alignment/>
      <protection/>
    </xf>
    <xf numFmtId="0" fontId="0" fillId="0" borderId="0" xfId="0"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17" fillId="0" borderId="0" xfId="0" applyFont="1" applyBorder="1" applyAlignment="1">
      <alignment horizontal="center" wrapText="1"/>
    </xf>
    <xf numFmtId="0" fontId="17" fillId="0" borderId="0" xfId="0" applyFont="1" applyAlignment="1">
      <alignment/>
    </xf>
    <xf numFmtId="0" fontId="18" fillId="0" borderId="0" xfId="0" applyFont="1" applyAlignment="1">
      <alignment/>
    </xf>
    <xf numFmtId="0" fontId="1" fillId="0" borderId="0" xfId="0" applyFont="1" applyAlignment="1">
      <alignment/>
    </xf>
    <xf numFmtId="0" fontId="0" fillId="0" borderId="0" xfId="0" applyAlignment="1">
      <alignment/>
    </xf>
    <xf numFmtId="0" fontId="17" fillId="0" borderId="0" xfId="0" applyFont="1" applyBorder="1" applyAlignment="1">
      <alignment horizontal="left" wrapText="1"/>
    </xf>
    <xf numFmtId="0" fontId="17" fillId="0" borderId="0" xfId="57" applyFont="1" applyAlignment="1">
      <alignment horizontal="left"/>
      <protection/>
    </xf>
    <xf numFmtId="0" fontId="18" fillId="0" borderId="0" xfId="57" applyFont="1" applyAlignment="1">
      <alignment horizontal="left"/>
      <protection/>
    </xf>
    <xf numFmtId="0" fontId="17" fillId="0" borderId="0" xfId="57" applyFont="1" applyAlignment="1">
      <alignment/>
      <protection/>
    </xf>
    <xf numFmtId="0" fontId="18" fillId="0" borderId="0" xfId="57" applyFont="1" applyAlignment="1">
      <alignment/>
      <protection/>
    </xf>
    <xf numFmtId="0" fontId="1" fillId="0" borderId="0" xfId="57" applyFont="1" applyAlignment="1">
      <alignment/>
      <protection/>
    </xf>
    <xf numFmtId="0" fontId="0" fillId="0" borderId="0" xfId="57"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nikack\AppData\Local\Temp\Data%20husha&#778;llsutgifter%20fo&#776;r%20analys%20Health%20and%20Transport%20191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nikack\AppData\Local\Temp\Matdata%201909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od, alcohol"/>
      <sheetName val="Sheet1"/>
      <sheetName val="ALCOHOLIC BEVERAGES, TOBACCO AN"/>
      <sheetName val="Clothes, shoes"/>
      <sheetName val="Sheet2"/>
      <sheetName val="Water and rent"/>
      <sheetName val="Furnishings"/>
      <sheetName val="Sheet3"/>
      <sheetName val="Sheet7"/>
      <sheetName val="Sheet6"/>
      <sheetName val="Information and communication"/>
      <sheetName val="Recreation, sport and culture"/>
      <sheetName val="Sheet4"/>
      <sheetName val="Education services"/>
      <sheetName val="Resturants and accomodation"/>
      <sheetName val="Miscellaneous goods and service"/>
      <sheetName val="Sheet5"/>
      <sheetName val="Additional analysis"/>
      <sheetName val="Blad2"/>
      <sheetName val="Blad3"/>
    </sheetNames>
    <sheetDataSet>
      <sheetData sheetId="9">
        <row r="3">
          <cell r="B3">
            <v>260.24</v>
          </cell>
          <cell r="C3">
            <v>259.33</v>
          </cell>
          <cell r="D3">
            <v>259.21</v>
          </cell>
          <cell r="E3">
            <v>264.01</v>
          </cell>
        </row>
        <row r="4">
          <cell r="B4">
            <v>501.29</v>
          </cell>
          <cell r="C4">
            <v>523.25</v>
          </cell>
          <cell r="D4">
            <v>547.58</v>
          </cell>
          <cell r="E4">
            <v>563.3785714285715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od"/>
      <sheetName val="KPI , PPI"/>
      <sheetName val="Blad2"/>
      <sheetName val="Blad3"/>
    </sheetNames>
    <sheetDataSet>
      <sheetData sheetId="1">
        <row r="26">
          <cell r="B26">
            <v>109.4</v>
          </cell>
          <cell r="C26">
            <v>120.3</v>
          </cell>
          <cell r="D26">
            <v>126.9</v>
          </cell>
          <cell r="E26">
            <v>135.9</v>
          </cell>
        </row>
        <row r="28">
          <cell r="B28">
            <v>102.7</v>
          </cell>
          <cell r="C28">
            <v>103.7</v>
          </cell>
          <cell r="D28">
            <v>106.2</v>
          </cell>
          <cell r="E28">
            <v>118.10000000000001</v>
          </cell>
        </row>
        <row r="29">
          <cell r="B29">
            <v>103</v>
          </cell>
          <cell r="C29">
            <v>108.9</v>
          </cell>
          <cell r="D29">
            <v>111.5</v>
          </cell>
          <cell r="E29">
            <v>110.89999999999999</v>
          </cell>
        </row>
        <row r="30">
          <cell r="B30">
            <v>101.2</v>
          </cell>
          <cell r="C30">
            <v>104.2</v>
          </cell>
          <cell r="D30">
            <v>106</v>
          </cell>
          <cell r="E30">
            <v>109.03333333333335</v>
          </cell>
        </row>
        <row r="32">
          <cell r="B32">
            <v>96.2</v>
          </cell>
          <cell r="C32">
            <v>95.7</v>
          </cell>
          <cell r="D32">
            <v>97.9</v>
          </cell>
          <cell r="E32">
            <v>100.56666666666668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34"/>
  <sheetViews>
    <sheetView zoomScale="90" zoomScaleNormal="90" zoomScalePageLayoutView="0" workbookViewId="0" topLeftCell="A1">
      <pane ySplit="1" topLeftCell="A2" activePane="bottomLeft" state="frozen"/>
      <selection pane="topLeft" activeCell="A1" sqref="A1"/>
      <selection pane="bottomLeft" activeCell="C36" sqref="C36"/>
    </sheetView>
  </sheetViews>
  <sheetFormatPr defaultColWidth="10.8515625" defaultRowHeight="12.75"/>
  <cols>
    <col min="1" max="2" width="10.8515625" style="0" customWidth="1"/>
    <col min="3" max="3" width="39.140625" style="0" customWidth="1"/>
    <col min="4" max="7" width="10.8515625" style="0" customWidth="1"/>
    <col min="8" max="8" width="30.140625" style="0" customWidth="1"/>
    <col min="9" max="9" width="25.28125" style="0" customWidth="1"/>
    <col min="10" max="10" width="10.8515625" style="0" customWidth="1"/>
    <col min="11" max="11" width="46.7109375" style="0" customWidth="1"/>
    <col min="12" max="17" width="10.8515625" style="0" customWidth="1"/>
    <col min="18" max="18" width="19.00390625" style="0" customWidth="1"/>
    <col min="19" max="22" width="10.8515625" style="53" customWidth="1"/>
    <col min="23" max="23" width="11.140625" style="53" bestFit="1" customWidth="1"/>
    <col min="24" max="24" width="10.8515625" style="53" customWidth="1"/>
  </cols>
  <sheetData>
    <row r="1" spans="1:24" s="84" customFormat="1" ht="60">
      <c r="A1" s="642" t="s">
        <v>2625</v>
      </c>
      <c r="B1" s="642"/>
      <c r="C1" s="642"/>
      <c r="D1" s="642"/>
      <c r="E1" s="79" t="s">
        <v>2626</v>
      </c>
      <c r="F1" s="79" t="s">
        <v>2627</v>
      </c>
      <c r="G1" s="80" t="s">
        <v>1712</v>
      </c>
      <c r="H1" s="80" t="s">
        <v>2084</v>
      </c>
      <c r="I1" s="80" t="s">
        <v>2083</v>
      </c>
      <c r="J1" s="81" t="s">
        <v>1708</v>
      </c>
      <c r="K1" s="643" t="s">
        <v>1709</v>
      </c>
      <c r="L1" s="644"/>
      <c r="M1" s="644"/>
      <c r="N1" s="80" t="s">
        <v>1710</v>
      </c>
      <c r="O1" s="643" t="s">
        <v>1713</v>
      </c>
      <c r="P1" s="644"/>
      <c r="Q1" s="644"/>
      <c r="R1" s="80" t="s">
        <v>2492</v>
      </c>
      <c r="S1" s="82" t="s">
        <v>2527</v>
      </c>
      <c r="T1" s="82" t="s">
        <v>2528</v>
      </c>
      <c r="U1" s="82" t="s">
        <v>2529</v>
      </c>
      <c r="V1" s="82" t="s">
        <v>2530</v>
      </c>
      <c r="W1" s="82" t="s">
        <v>2532</v>
      </c>
      <c r="X1" s="83" t="s">
        <v>2531</v>
      </c>
    </row>
    <row r="2" spans="1:27" s="86" customFormat="1" ht="120">
      <c r="A2" s="85" t="s">
        <v>697</v>
      </c>
      <c r="B2" s="86" t="s">
        <v>418</v>
      </c>
      <c r="C2" s="87" t="s">
        <v>38</v>
      </c>
      <c r="D2" s="88" t="s">
        <v>2070</v>
      </c>
      <c r="E2" s="89">
        <v>5790</v>
      </c>
      <c r="F2" s="89">
        <v>6279</v>
      </c>
      <c r="G2" s="90"/>
      <c r="H2" s="90"/>
      <c r="I2" s="91"/>
      <c r="J2" s="92"/>
      <c r="K2" s="91"/>
      <c r="L2" s="91"/>
      <c r="M2" s="91"/>
      <c r="N2" s="91"/>
      <c r="O2" s="91"/>
      <c r="P2" s="91"/>
      <c r="S2" s="93"/>
      <c r="T2" s="94"/>
      <c r="U2" s="94"/>
      <c r="V2" s="94"/>
      <c r="W2" s="94"/>
      <c r="X2" s="94"/>
      <c r="Y2" s="91"/>
      <c r="Z2" s="91"/>
      <c r="AA2" s="91"/>
    </row>
    <row r="3" spans="1:27" s="96" customFormat="1" ht="15">
      <c r="A3" s="95" t="s">
        <v>698</v>
      </c>
      <c r="B3" s="96" t="s">
        <v>418</v>
      </c>
      <c r="C3" s="97" t="s">
        <v>39</v>
      </c>
      <c r="D3" s="98"/>
      <c r="E3" s="99">
        <v>3700</v>
      </c>
      <c r="F3" s="99">
        <v>3934</v>
      </c>
      <c r="G3" s="100"/>
      <c r="H3" s="100"/>
      <c r="I3" s="101"/>
      <c r="J3" s="102"/>
      <c r="K3" s="101"/>
      <c r="L3" s="101"/>
      <c r="M3" s="101"/>
      <c r="N3" s="101"/>
      <c r="O3" s="101"/>
      <c r="P3" s="101"/>
      <c r="S3" s="103"/>
      <c r="T3" s="104"/>
      <c r="U3" s="104"/>
      <c r="V3" s="104"/>
      <c r="W3" s="104"/>
      <c r="X3" s="104"/>
      <c r="Y3" s="101"/>
      <c r="Z3" s="101"/>
      <c r="AA3" s="101"/>
    </row>
    <row r="4" spans="1:27" s="106" customFormat="1" ht="15">
      <c r="A4" s="105" t="s">
        <v>699</v>
      </c>
      <c r="B4" s="106" t="s">
        <v>418</v>
      </c>
      <c r="C4" s="107" t="s">
        <v>40</v>
      </c>
      <c r="D4" s="108" t="s">
        <v>1859</v>
      </c>
      <c r="E4" s="109">
        <v>510</v>
      </c>
      <c r="F4" s="109">
        <v>524</v>
      </c>
      <c r="G4" s="110"/>
      <c r="H4" s="110"/>
      <c r="I4" s="111"/>
      <c r="J4" s="112"/>
      <c r="K4" s="111"/>
      <c r="L4" s="111"/>
      <c r="M4" s="111"/>
      <c r="N4" s="111"/>
      <c r="O4" s="111"/>
      <c r="P4" s="111"/>
      <c r="S4" s="113"/>
      <c r="T4" s="114"/>
      <c r="U4" s="114"/>
      <c r="V4" s="114"/>
      <c r="W4" s="114"/>
      <c r="X4" s="114"/>
      <c r="Y4" s="111"/>
      <c r="Z4" s="111"/>
      <c r="AA4" s="111"/>
    </row>
    <row r="5" spans="1:27" s="116" customFormat="1" ht="42.75">
      <c r="A5" s="115" t="s">
        <v>700</v>
      </c>
      <c r="B5" s="116" t="s">
        <v>418</v>
      </c>
      <c r="C5" s="117" t="s">
        <v>41</v>
      </c>
      <c r="D5" s="118" t="s">
        <v>1860</v>
      </c>
      <c r="E5" s="119">
        <v>510</v>
      </c>
      <c r="F5" s="119">
        <v>524</v>
      </c>
      <c r="G5" s="120" t="s">
        <v>2405</v>
      </c>
      <c r="H5" s="145">
        <v>577.6992767334849</v>
      </c>
      <c r="I5" s="146">
        <v>592.857</v>
      </c>
      <c r="J5" s="121">
        <v>0.56</v>
      </c>
      <c r="K5" s="122" t="s">
        <v>2400</v>
      </c>
      <c r="L5" s="122" t="s">
        <v>2409</v>
      </c>
      <c r="M5" s="122"/>
      <c r="N5" s="122" t="s">
        <v>1751</v>
      </c>
      <c r="O5" s="122" t="s">
        <v>11</v>
      </c>
      <c r="P5" s="122" t="s">
        <v>2408</v>
      </c>
      <c r="Q5" s="116" t="s">
        <v>2537</v>
      </c>
      <c r="R5" s="116" t="s">
        <v>2538</v>
      </c>
      <c r="S5" s="150">
        <v>12.1741</v>
      </c>
      <c r="T5" s="150">
        <v>0.02107</v>
      </c>
      <c r="U5" s="150">
        <v>7.9405</v>
      </c>
      <c r="V5" s="150">
        <v>0.01375</v>
      </c>
      <c r="W5" s="150" t="s">
        <v>2539</v>
      </c>
      <c r="X5" s="150">
        <v>12.60181</v>
      </c>
      <c r="Y5" s="122"/>
      <c r="Z5" s="122"/>
      <c r="AA5" s="122"/>
    </row>
    <row r="6" spans="1:27" s="96" customFormat="1" ht="30">
      <c r="A6" s="95" t="s">
        <v>701</v>
      </c>
      <c r="B6" s="96" t="s">
        <v>418</v>
      </c>
      <c r="C6" s="124" t="s">
        <v>42</v>
      </c>
      <c r="D6" s="98"/>
      <c r="E6" s="99" t="s">
        <v>1689</v>
      </c>
      <c r="F6" s="99" t="s">
        <v>1689</v>
      </c>
      <c r="G6" s="100"/>
      <c r="H6" s="147"/>
      <c r="I6" s="147"/>
      <c r="J6" s="102"/>
      <c r="K6" s="101"/>
      <c r="L6" s="101"/>
      <c r="M6" s="101"/>
      <c r="N6" s="101"/>
      <c r="O6" s="101"/>
      <c r="P6" s="101"/>
      <c r="S6" s="152"/>
      <c r="T6" s="152"/>
      <c r="U6" s="152"/>
      <c r="V6" s="152"/>
      <c r="W6" s="152"/>
      <c r="X6" s="152"/>
      <c r="Y6" s="101"/>
      <c r="Z6" s="101"/>
      <c r="AA6" s="101"/>
    </row>
    <row r="7" spans="1:27" s="96" customFormat="1" ht="30">
      <c r="A7" s="95" t="s">
        <v>702</v>
      </c>
      <c r="B7" s="96" t="s">
        <v>418</v>
      </c>
      <c r="C7" s="124" t="s">
        <v>43</v>
      </c>
      <c r="D7" s="98"/>
      <c r="E7" s="99" t="s">
        <v>1689</v>
      </c>
      <c r="F7" s="99" t="s">
        <v>1689</v>
      </c>
      <c r="G7" s="100"/>
      <c r="H7" s="147"/>
      <c r="I7" s="147"/>
      <c r="J7" s="102"/>
      <c r="K7" s="101"/>
      <c r="L7" s="101"/>
      <c r="M7" s="101"/>
      <c r="N7" s="101"/>
      <c r="O7" s="101"/>
      <c r="P7" s="101"/>
      <c r="S7" s="152"/>
      <c r="T7" s="152"/>
      <c r="U7" s="152"/>
      <c r="V7" s="152"/>
      <c r="W7" s="152"/>
      <c r="X7" s="152"/>
      <c r="Y7" s="101"/>
      <c r="Z7" s="101"/>
      <c r="AA7" s="101"/>
    </row>
    <row r="8" spans="1:27" s="96" customFormat="1" ht="30">
      <c r="A8" s="95" t="s">
        <v>703</v>
      </c>
      <c r="B8" s="96" t="s">
        <v>418</v>
      </c>
      <c r="C8" s="124" t="s">
        <v>44</v>
      </c>
      <c r="D8" s="98"/>
      <c r="E8" s="99">
        <v>440</v>
      </c>
      <c r="F8" s="99">
        <v>452</v>
      </c>
      <c r="G8" s="100"/>
      <c r="H8" s="147"/>
      <c r="I8" s="147"/>
      <c r="J8" s="102"/>
      <c r="K8" s="101"/>
      <c r="L8" s="101"/>
      <c r="M8" s="101"/>
      <c r="N8" s="101"/>
      <c r="O8" s="101"/>
      <c r="P8" s="101"/>
      <c r="S8" s="152"/>
      <c r="T8" s="152"/>
      <c r="U8" s="152"/>
      <c r="V8" s="152"/>
      <c r="W8" s="152"/>
      <c r="X8" s="152"/>
      <c r="Y8" s="101"/>
      <c r="Z8" s="101"/>
      <c r="AA8" s="101"/>
    </row>
    <row r="9" spans="1:27" s="106" customFormat="1" ht="15">
      <c r="A9" s="105" t="s">
        <v>704</v>
      </c>
      <c r="B9" s="106" t="s">
        <v>418</v>
      </c>
      <c r="C9" s="107" t="s">
        <v>45</v>
      </c>
      <c r="D9" s="108" t="s">
        <v>1861</v>
      </c>
      <c r="E9" s="109">
        <v>1980</v>
      </c>
      <c r="F9" s="109">
        <v>2132</v>
      </c>
      <c r="G9" s="110"/>
      <c r="H9" s="148"/>
      <c r="I9" s="148"/>
      <c r="J9" s="112"/>
      <c r="K9" s="111"/>
      <c r="L9" s="111"/>
      <c r="M9" s="111"/>
      <c r="N9" s="111"/>
      <c r="O9" s="111"/>
      <c r="P9" s="111"/>
      <c r="S9" s="154"/>
      <c r="T9" s="154"/>
      <c r="U9" s="154"/>
      <c r="V9" s="154"/>
      <c r="W9" s="154"/>
      <c r="X9" s="154"/>
      <c r="Y9" s="111"/>
      <c r="Z9" s="111"/>
      <c r="AA9" s="111"/>
    </row>
    <row r="10" spans="1:27" s="116" customFormat="1" ht="42.75">
      <c r="A10" s="115" t="s">
        <v>705</v>
      </c>
      <c r="B10" s="116" t="s">
        <v>418</v>
      </c>
      <c r="C10" s="117" t="s">
        <v>46</v>
      </c>
      <c r="D10" s="118" t="s">
        <v>1862</v>
      </c>
      <c r="E10" s="119">
        <v>1940</v>
      </c>
      <c r="F10" s="119">
        <v>2089</v>
      </c>
      <c r="G10" s="120" t="s">
        <v>1861</v>
      </c>
      <c r="H10" s="145">
        <v>156.81025860559242</v>
      </c>
      <c r="I10" s="146">
        <v>166</v>
      </c>
      <c r="J10" s="121">
        <v>0.36</v>
      </c>
      <c r="K10" s="122" t="s">
        <v>2406</v>
      </c>
      <c r="L10" s="122" t="s">
        <v>2410</v>
      </c>
      <c r="M10" s="122"/>
      <c r="N10" s="122" t="s">
        <v>2401</v>
      </c>
      <c r="O10" s="122" t="s">
        <v>11</v>
      </c>
      <c r="P10" s="122" t="s">
        <v>2402</v>
      </c>
      <c r="Q10" s="116" t="s">
        <v>2404</v>
      </c>
      <c r="R10" s="123">
        <f>1+0.715</f>
        <v>1.7149999999999999</v>
      </c>
      <c r="S10" s="150">
        <v>2.34</v>
      </c>
      <c r="T10" s="150">
        <v>0.01492</v>
      </c>
      <c r="U10" s="150">
        <v>1.9048</v>
      </c>
      <c r="V10" s="150">
        <v>0.01215</v>
      </c>
      <c r="W10" s="150">
        <v>3669.71</v>
      </c>
      <c r="X10" s="150">
        <v>23.4023</v>
      </c>
      <c r="Y10" s="122"/>
      <c r="Z10" s="122"/>
      <c r="AA10" s="122"/>
    </row>
    <row r="11" spans="1:27" s="96" customFormat="1" ht="30">
      <c r="A11" s="95" t="s">
        <v>706</v>
      </c>
      <c r="B11" s="96" t="s">
        <v>418</v>
      </c>
      <c r="C11" s="124" t="s">
        <v>47</v>
      </c>
      <c r="D11" s="98"/>
      <c r="E11" s="99">
        <v>50</v>
      </c>
      <c r="F11" s="99">
        <v>54</v>
      </c>
      <c r="G11" s="100"/>
      <c r="H11" s="147"/>
      <c r="I11" s="147"/>
      <c r="J11" s="125"/>
      <c r="K11" s="126"/>
      <c r="L11" s="127"/>
      <c r="M11" s="101"/>
      <c r="N11" s="101"/>
      <c r="O11" s="101"/>
      <c r="P11" s="101"/>
      <c r="S11" s="151"/>
      <c r="T11" s="152"/>
      <c r="U11" s="152"/>
      <c r="V11" s="152"/>
      <c r="W11" s="152"/>
      <c r="X11" s="152"/>
      <c r="Y11" s="101"/>
      <c r="Z11" s="101"/>
      <c r="AA11" s="101"/>
    </row>
    <row r="12" spans="1:27" s="96" customFormat="1" ht="30">
      <c r="A12" s="95" t="s">
        <v>707</v>
      </c>
      <c r="B12" s="96" t="s">
        <v>418</v>
      </c>
      <c r="C12" s="124" t="s">
        <v>48</v>
      </c>
      <c r="D12" s="98"/>
      <c r="E12" s="99">
        <v>40</v>
      </c>
      <c r="F12" s="99">
        <v>43</v>
      </c>
      <c r="G12" s="100"/>
      <c r="H12" s="147"/>
      <c r="I12" s="147"/>
      <c r="J12" s="102"/>
      <c r="K12" s="101"/>
      <c r="L12" s="100"/>
      <c r="M12" s="128"/>
      <c r="N12" s="128"/>
      <c r="O12" s="128"/>
      <c r="P12" s="129"/>
      <c r="S12" s="151"/>
      <c r="T12" s="152"/>
      <c r="U12" s="152"/>
      <c r="V12" s="152"/>
      <c r="W12" s="152"/>
      <c r="X12" s="152"/>
      <c r="Y12" s="101"/>
      <c r="Z12" s="101"/>
      <c r="AA12" s="101"/>
    </row>
    <row r="13" spans="1:27" s="96" customFormat="1" ht="30">
      <c r="A13" s="95" t="s">
        <v>708</v>
      </c>
      <c r="B13" s="96" t="s">
        <v>418</v>
      </c>
      <c r="C13" s="124" t="s">
        <v>49</v>
      </c>
      <c r="D13" s="98"/>
      <c r="E13" s="99">
        <v>1850</v>
      </c>
      <c r="F13" s="99">
        <v>1992</v>
      </c>
      <c r="G13" s="100"/>
      <c r="H13" s="147"/>
      <c r="I13" s="147"/>
      <c r="J13" s="102"/>
      <c r="K13" s="101"/>
      <c r="L13" s="101"/>
      <c r="M13" s="101"/>
      <c r="N13" s="101"/>
      <c r="O13" s="101"/>
      <c r="P13" s="101"/>
      <c r="S13" s="151"/>
      <c r="T13" s="152"/>
      <c r="U13" s="152"/>
      <c r="V13" s="152"/>
      <c r="W13" s="152"/>
      <c r="X13" s="152"/>
      <c r="Y13" s="101"/>
      <c r="Z13" s="101"/>
      <c r="AA13" s="101"/>
    </row>
    <row r="14" spans="1:27" s="96" customFormat="1" ht="15">
      <c r="A14" s="95" t="s">
        <v>709</v>
      </c>
      <c r="B14" s="96" t="s">
        <v>418</v>
      </c>
      <c r="C14" s="124" t="s">
        <v>50</v>
      </c>
      <c r="D14" s="98"/>
      <c r="E14" s="99" t="s">
        <v>1689</v>
      </c>
      <c r="F14" s="99" t="s">
        <v>1689</v>
      </c>
      <c r="G14" s="100"/>
      <c r="H14" s="147"/>
      <c r="I14" s="147"/>
      <c r="J14" s="102"/>
      <c r="K14" s="101"/>
      <c r="L14" s="101"/>
      <c r="M14" s="101"/>
      <c r="N14" s="101"/>
      <c r="O14" s="101"/>
      <c r="P14" s="101"/>
      <c r="S14" s="151"/>
      <c r="T14" s="152"/>
      <c r="U14" s="152"/>
      <c r="V14" s="152"/>
      <c r="W14" s="152"/>
      <c r="X14" s="152"/>
      <c r="Y14" s="101"/>
      <c r="Z14" s="101"/>
      <c r="AA14" s="101"/>
    </row>
    <row r="15" spans="1:27" s="106" customFormat="1" ht="15">
      <c r="A15" s="105" t="s">
        <v>710</v>
      </c>
      <c r="B15" s="106" t="s">
        <v>418</v>
      </c>
      <c r="C15" s="107" t="s">
        <v>51</v>
      </c>
      <c r="D15" s="108" t="s">
        <v>1863</v>
      </c>
      <c r="E15" s="109">
        <v>980</v>
      </c>
      <c r="F15" s="109">
        <v>1042</v>
      </c>
      <c r="G15" s="110"/>
      <c r="H15" s="148"/>
      <c r="I15" s="148"/>
      <c r="J15" s="112"/>
      <c r="K15" s="111"/>
      <c r="L15" s="111"/>
      <c r="M15" s="111"/>
      <c r="N15" s="111"/>
      <c r="O15" s="111"/>
      <c r="P15" s="111"/>
      <c r="S15" s="153"/>
      <c r="T15" s="154"/>
      <c r="U15" s="154"/>
      <c r="V15" s="154"/>
      <c r="W15" s="154"/>
      <c r="X15" s="154"/>
      <c r="Y15" s="111"/>
      <c r="Z15" s="111"/>
      <c r="AA15" s="111"/>
    </row>
    <row r="16" spans="1:27" s="96" customFormat="1" ht="30">
      <c r="A16" s="95" t="s">
        <v>711</v>
      </c>
      <c r="B16" s="96" t="s">
        <v>418</v>
      </c>
      <c r="C16" s="124" t="s">
        <v>52</v>
      </c>
      <c r="D16" s="98"/>
      <c r="E16" s="99">
        <v>90</v>
      </c>
      <c r="F16" s="99">
        <v>96</v>
      </c>
      <c r="G16" s="100"/>
      <c r="H16" s="147"/>
      <c r="I16" s="147"/>
      <c r="J16" s="102"/>
      <c r="K16" s="101"/>
      <c r="L16" s="101"/>
      <c r="M16" s="101"/>
      <c r="N16" s="101"/>
      <c r="O16" s="101"/>
      <c r="P16" s="101"/>
      <c r="S16" s="151"/>
      <c r="T16" s="152"/>
      <c r="U16" s="152"/>
      <c r="V16" s="152"/>
      <c r="W16" s="152"/>
      <c r="X16" s="152"/>
      <c r="Y16" s="101"/>
      <c r="Z16" s="101"/>
      <c r="AA16" s="101"/>
    </row>
    <row r="17" spans="1:27" s="116" customFormat="1" ht="30">
      <c r="A17" s="115" t="s">
        <v>712</v>
      </c>
      <c r="B17" s="116" t="s">
        <v>418</v>
      </c>
      <c r="C17" s="117" t="s">
        <v>53</v>
      </c>
      <c r="D17" s="118"/>
      <c r="E17" s="119">
        <v>840</v>
      </c>
      <c r="F17" s="119">
        <v>893</v>
      </c>
      <c r="G17" s="120" t="s">
        <v>1863</v>
      </c>
      <c r="H17" s="145">
        <v>38.14651827649581</v>
      </c>
      <c r="I17" s="146">
        <v>39</v>
      </c>
      <c r="J17" s="121">
        <v>0.46</v>
      </c>
      <c r="K17" s="122" t="s">
        <v>2407</v>
      </c>
      <c r="L17" s="122" t="s">
        <v>2411</v>
      </c>
      <c r="M17" s="122"/>
      <c r="N17" s="122" t="s">
        <v>1751</v>
      </c>
      <c r="O17" s="122" t="s">
        <v>1735</v>
      </c>
      <c r="P17" s="122" t="s">
        <v>2403</v>
      </c>
      <c r="Q17" s="116" t="s">
        <v>1776</v>
      </c>
      <c r="R17" s="116">
        <f>1+0.058</f>
        <v>1.058</v>
      </c>
      <c r="S17" s="149">
        <v>1.3669</v>
      </c>
      <c r="T17" s="150">
        <v>0.03583</v>
      </c>
      <c r="U17" s="150">
        <v>0.4358</v>
      </c>
      <c r="V17" s="150">
        <v>0.01142</v>
      </c>
      <c r="W17" s="150">
        <v>12.7783</v>
      </c>
      <c r="X17" s="150">
        <v>0.33495</v>
      </c>
      <c r="Y17" s="122"/>
      <c r="Z17" s="122"/>
      <c r="AA17" s="122"/>
    </row>
    <row r="18" spans="1:27" s="96" customFormat="1" ht="30">
      <c r="A18" s="95" t="s">
        <v>713</v>
      </c>
      <c r="B18" s="96" t="s">
        <v>418</v>
      </c>
      <c r="C18" s="97" t="s">
        <v>54</v>
      </c>
      <c r="D18" s="98"/>
      <c r="E18" s="99">
        <v>0</v>
      </c>
      <c r="F18" s="99">
        <v>0</v>
      </c>
      <c r="G18" s="100"/>
      <c r="H18" s="147"/>
      <c r="I18" s="147"/>
      <c r="J18" s="102"/>
      <c r="K18" s="101"/>
      <c r="L18" s="101"/>
      <c r="M18" s="101"/>
      <c r="N18" s="101"/>
      <c r="O18" s="101"/>
      <c r="P18" s="101"/>
      <c r="S18" s="151"/>
      <c r="T18" s="152"/>
      <c r="U18" s="152"/>
      <c r="V18" s="152"/>
      <c r="W18" s="152"/>
      <c r="X18" s="152"/>
      <c r="Y18" s="101"/>
      <c r="Z18" s="101"/>
      <c r="AA18" s="101"/>
    </row>
    <row r="19" spans="1:27" s="106" customFormat="1" ht="15">
      <c r="A19" s="105" t="s">
        <v>714</v>
      </c>
      <c r="B19" s="106" t="s">
        <v>418</v>
      </c>
      <c r="C19" s="107" t="s">
        <v>55</v>
      </c>
      <c r="D19" s="108" t="s">
        <v>1736</v>
      </c>
      <c r="E19" s="109">
        <v>2090</v>
      </c>
      <c r="F19" s="109">
        <v>2321</v>
      </c>
      <c r="G19" s="110"/>
      <c r="H19" s="148"/>
      <c r="I19" s="148"/>
      <c r="J19" s="112"/>
      <c r="K19" s="111"/>
      <c r="L19" s="111"/>
      <c r="M19" s="111"/>
      <c r="N19" s="111"/>
      <c r="O19" s="111"/>
      <c r="P19" s="111"/>
      <c r="S19" s="153"/>
      <c r="T19" s="154"/>
      <c r="U19" s="154"/>
      <c r="V19" s="154"/>
      <c r="W19" s="154"/>
      <c r="X19" s="154"/>
      <c r="Y19" s="111"/>
      <c r="Z19" s="111"/>
      <c r="AA19" s="111"/>
    </row>
    <row r="20" spans="1:27" s="96" customFormat="1" ht="15">
      <c r="A20" s="95" t="s">
        <v>715</v>
      </c>
      <c r="B20" s="96" t="s">
        <v>418</v>
      </c>
      <c r="C20" s="124" t="s">
        <v>55</v>
      </c>
      <c r="D20" s="98"/>
      <c r="E20" s="99">
        <v>2090</v>
      </c>
      <c r="F20" s="99">
        <v>2321</v>
      </c>
      <c r="G20" s="100"/>
      <c r="H20" s="147"/>
      <c r="I20" s="147"/>
      <c r="J20" s="102"/>
      <c r="K20" s="101"/>
      <c r="L20" s="101"/>
      <c r="M20" s="101"/>
      <c r="N20" s="101"/>
      <c r="O20" s="101"/>
      <c r="P20" s="101"/>
      <c r="S20" s="151"/>
      <c r="T20" s="152"/>
      <c r="U20" s="152"/>
      <c r="V20" s="152"/>
      <c r="W20" s="152"/>
      <c r="X20" s="152"/>
      <c r="Y20" s="101"/>
      <c r="Z20" s="101"/>
      <c r="AA20" s="101"/>
    </row>
    <row r="21" spans="1:27" s="116" customFormat="1" ht="28.5">
      <c r="A21" s="115" t="s">
        <v>716</v>
      </c>
      <c r="B21" s="116" t="s">
        <v>418</v>
      </c>
      <c r="C21" s="117" t="s">
        <v>56</v>
      </c>
      <c r="D21" s="118" t="s">
        <v>1864</v>
      </c>
      <c r="E21" s="119">
        <v>1160</v>
      </c>
      <c r="F21" s="119">
        <v>1288</v>
      </c>
      <c r="G21" s="120" t="s">
        <v>2434</v>
      </c>
      <c r="H21" s="145">
        <v>2967.472862635347</v>
      </c>
      <c r="I21" s="146">
        <v>3100</v>
      </c>
      <c r="J21" s="121">
        <v>0.72</v>
      </c>
      <c r="K21" s="122" t="s">
        <v>2435</v>
      </c>
      <c r="L21" s="122" t="s">
        <v>2436</v>
      </c>
      <c r="M21" s="122"/>
      <c r="N21" s="122" t="s">
        <v>2086</v>
      </c>
      <c r="O21" s="122" t="s">
        <v>1721</v>
      </c>
      <c r="P21" s="116" t="s">
        <v>2451</v>
      </c>
      <c r="Q21" s="122" t="s">
        <v>2433</v>
      </c>
      <c r="R21" s="116">
        <f>1+0.4</f>
        <v>1.4</v>
      </c>
      <c r="S21" s="149">
        <v>53.2026</v>
      </c>
      <c r="T21" s="150">
        <v>0.01793</v>
      </c>
      <c r="U21" s="150">
        <v>16.1609</v>
      </c>
      <c r="V21" s="150">
        <v>0.00545</v>
      </c>
      <c r="W21" s="150">
        <v>2523.05</v>
      </c>
      <c r="X21" s="150">
        <v>0.85024</v>
      </c>
      <c r="Y21" s="122"/>
      <c r="Z21" s="122"/>
      <c r="AA21" s="122"/>
    </row>
    <row r="22" spans="1:27" s="96" customFormat="1" ht="15">
      <c r="A22" s="95" t="s">
        <v>717</v>
      </c>
      <c r="B22" s="96" t="s">
        <v>418</v>
      </c>
      <c r="C22" s="124" t="s">
        <v>57</v>
      </c>
      <c r="D22" s="98"/>
      <c r="E22" s="99">
        <v>0</v>
      </c>
      <c r="F22" s="99">
        <v>0</v>
      </c>
      <c r="G22" s="100"/>
      <c r="H22" s="147"/>
      <c r="I22" s="147"/>
      <c r="J22" s="102"/>
      <c r="K22" s="101"/>
      <c r="L22" s="101"/>
      <c r="M22" s="101"/>
      <c r="N22" s="101"/>
      <c r="O22" s="101"/>
      <c r="P22" s="101"/>
      <c r="S22" s="151"/>
      <c r="T22" s="152"/>
      <c r="U22" s="152"/>
      <c r="V22" s="152"/>
      <c r="W22" s="152"/>
      <c r="X22" s="152"/>
      <c r="Y22" s="101"/>
      <c r="Z22" s="101"/>
      <c r="AA22" s="101"/>
    </row>
    <row r="23" spans="1:27" s="116" customFormat="1" ht="42.75">
      <c r="A23" s="115" t="s">
        <v>718</v>
      </c>
      <c r="B23" s="116" t="s">
        <v>418</v>
      </c>
      <c r="C23" s="117" t="s">
        <v>58</v>
      </c>
      <c r="D23" s="118" t="s">
        <v>1865</v>
      </c>
      <c r="E23" s="119">
        <v>930</v>
      </c>
      <c r="F23" s="119">
        <v>1033</v>
      </c>
      <c r="G23" s="120" t="s">
        <v>2437</v>
      </c>
      <c r="H23" s="145">
        <v>3689.512616075917</v>
      </c>
      <c r="I23" s="146">
        <v>3854.286</v>
      </c>
      <c r="J23" s="121">
        <v>0.7</v>
      </c>
      <c r="K23" s="122" t="s">
        <v>2435</v>
      </c>
      <c r="L23" s="122" t="s">
        <v>2436</v>
      </c>
      <c r="M23" s="122"/>
      <c r="N23" s="122" t="s">
        <v>2086</v>
      </c>
      <c r="O23" s="122" t="s">
        <v>1732</v>
      </c>
      <c r="P23" s="116" t="s">
        <v>2450</v>
      </c>
      <c r="Q23" s="122" t="s">
        <v>2449</v>
      </c>
      <c r="R23" s="116">
        <f>1+0.125+0.125</f>
        <v>1.25</v>
      </c>
      <c r="S23" s="150">
        <v>66.0269</v>
      </c>
      <c r="T23" s="150">
        <v>0.0179</v>
      </c>
      <c r="U23" s="150">
        <v>18.9305</v>
      </c>
      <c r="V23" s="150">
        <v>0.00513</v>
      </c>
      <c r="W23" s="150">
        <v>888.8582</v>
      </c>
      <c r="X23" s="150">
        <v>0.24091</v>
      </c>
      <c r="Y23" s="122"/>
      <c r="Z23" s="122"/>
      <c r="AA23" s="122"/>
    </row>
    <row r="24" spans="1:27" s="96" customFormat="1" ht="30">
      <c r="A24" s="95" t="s">
        <v>719</v>
      </c>
      <c r="B24" s="96" t="s">
        <v>418</v>
      </c>
      <c r="C24" s="124" t="s">
        <v>59</v>
      </c>
      <c r="D24" s="98"/>
      <c r="E24" s="99">
        <v>150</v>
      </c>
      <c r="F24" s="99">
        <v>167</v>
      </c>
      <c r="G24" s="100"/>
      <c r="H24" s="147"/>
      <c r="I24" s="147"/>
      <c r="J24" s="102"/>
      <c r="K24" s="101"/>
      <c r="L24" s="101"/>
      <c r="M24" s="101"/>
      <c r="N24" s="101"/>
      <c r="O24" s="101"/>
      <c r="P24" s="101"/>
      <c r="S24" s="151"/>
      <c r="T24" s="152"/>
      <c r="U24" s="152"/>
      <c r="V24" s="152"/>
      <c r="W24" s="152"/>
      <c r="X24" s="152"/>
      <c r="Y24" s="101"/>
      <c r="Z24" s="101"/>
      <c r="AA24" s="101"/>
    </row>
    <row r="25" spans="1:27" s="96" customFormat="1" ht="30">
      <c r="A25" s="95" t="s">
        <v>720</v>
      </c>
      <c r="B25" s="96" t="s">
        <v>418</v>
      </c>
      <c r="C25" s="124" t="s">
        <v>60</v>
      </c>
      <c r="D25" s="98"/>
      <c r="E25" s="99" t="s">
        <v>1689</v>
      </c>
      <c r="F25" s="99" t="s">
        <v>1689</v>
      </c>
      <c r="G25" s="100"/>
      <c r="H25" s="147"/>
      <c r="I25" s="147"/>
      <c r="J25" s="102"/>
      <c r="K25" s="101"/>
      <c r="L25" s="101"/>
      <c r="M25" s="101"/>
      <c r="N25" s="101"/>
      <c r="O25" s="101"/>
      <c r="P25" s="101"/>
      <c r="S25" s="151"/>
      <c r="T25" s="152"/>
      <c r="U25" s="152"/>
      <c r="V25" s="152"/>
      <c r="W25" s="152"/>
      <c r="X25" s="152"/>
      <c r="Y25" s="101"/>
      <c r="Z25" s="101"/>
      <c r="AA25" s="101"/>
    </row>
    <row r="26" spans="1:27" s="116" customFormat="1" ht="30">
      <c r="A26" s="115" t="s">
        <v>721</v>
      </c>
      <c r="B26" s="116" t="s">
        <v>418</v>
      </c>
      <c r="C26" s="117" t="s">
        <v>61</v>
      </c>
      <c r="D26" s="118" t="s">
        <v>61</v>
      </c>
      <c r="E26" s="119">
        <v>770</v>
      </c>
      <c r="F26" s="119">
        <v>855</v>
      </c>
      <c r="G26" s="120" t="s">
        <v>1714</v>
      </c>
      <c r="H26" s="145">
        <v>1542.234893933322</v>
      </c>
      <c r="I26" s="146">
        <v>1611.111</v>
      </c>
      <c r="J26" s="121">
        <v>0.48</v>
      </c>
      <c r="K26" s="120" t="s">
        <v>2425</v>
      </c>
      <c r="L26" s="122" t="s">
        <v>2471</v>
      </c>
      <c r="M26" s="122"/>
      <c r="N26" s="122" t="s">
        <v>2086</v>
      </c>
      <c r="O26" s="122" t="s">
        <v>1715</v>
      </c>
      <c r="P26" s="122" t="s">
        <v>2344</v>
      </c>
      <c r="Q26" s="116" t="s">
        <v>1775</v>
      </c>
      <c r="R26" s="116">
        <f>1+0.86</f>
        <v>1.8599999999999999</v>
      </c>
      <c r="S26" s="149">
        <v>32.82</v>
      </c>
      <c r="T26" s="150">
        <v>0.02128</v>
      </c>
      <c r="U26" s="150">
        <v>8.4792</v>
      </c>
      <c r="V26" s="150">
        <v>0.0055</v>
      </c>
      <c r="W26" s="150">
        <v>76.2219</v>
      </c>
      <c r="X26" s="150">
        <v>0.04942</v>
      </c>
      <c r="Y26" s="122"/>
      <c r="Z26" s="122"/>
      <c r="AA26" s="122"/>
    </row>
    <row r="27" spans="1:27" s="96" customFormat="1" ht="30">
      <c r="A27" s="95" t="s">
        <v>722</v>
      </c>
      <c r="B27" s="96" t="s">
        <v>418</v>
      </c>
      <c r="C27" s="124" t="s">
        <v>62</v>
      </c>
      <c r="D27" s="98"/>
      <c r="E27" s="99">
        <v>0</v>
      </c>
      <c r="F27" s="99">
        <v>0</v>
      </c>
      <c r="G27" s="100"/>
      <c r="H27" s="100"/>
      <c r="I27" s="101"/>
      <c r="J27" s="102"/>
      <c r="K27" s="101"/>
      <c r="L27" s="101"/>
      <c r="M27" s="101"/>
      <c r="N27" s="101"/>
      <c r="O27" s="101"/>
      <c r="P27" s="101"/>
      <c r="S27" s="103"/>
      <c r="T27" s="104"/>
      <c r="U27" s="104"/>
      <c r="V27" s="104"/>
      <c r="W27" s="104"/>
      <c r="X27" s="104"/>
      <c r="Y27" s="101"/>
      <c r="Z27" s="101"/>
      <c r="AA27" s="101"/>
    </row>
    <row r="28" spans="19:24" s="84" customFormat="1" ht="14.25">
      <c r="S28" s="130"/>
      <c r="T28" s="130"/>
      <c r="U28" s="130"/>
      <c r="V28" s="130"/>
      <c r="W28" s="130"/>
      <c r="X28" s="130"/>
    </row>
    <row r="29" spans="1:27" s="131" customFormat="1" ht="15">
      <c r="A29" s="131" t="s">
        <v>2087</v>
      </c>
      <c r="G29" s="132"/>
      <c r="H29" s="133"/>
      <c r="I29" s="132"/>
      <c r="L29" s="132"/>
      <c r="M29" s="132"/>
      <c r="N29" s="132"/>
      <c r="O29" s="132"/>
      <c r="P29" s="132"/>
      <c r="R29" s="132"/>
      <c r="S29" s="134"/>
      <c r="T29" s="135"/>
      <c r="U29" s="135"/>
      <c r="V29" s="135"/>
      <c r="W29" s="135"/>
      <c r="X29" s="135"/>
      <c r="Y29" s="132"/>
      <c r="Z29" s="132"/>
      <c r="AA29" s="132"/>
    </row>
    <row r="30" spans="2:27" s="136" customFormat="1" ht="17.25" customHeight="1">
      <c r="B30" s="137"/>
      <c r="G30" s="137"/>
      <c r="H30" s="138"/>
      <c r="I30" s="137"/>
      <c r="L30" s="137"/>
      <c r="M30" s="137"/>
      <c r="N30" s="137"/>
      <c r="O30" s="137"/>
      <c r="P30" s="137"/>
      <c r="R30" s="137"/>
      <c r="S30" s="139"/>
      <c r="T30" s="140"/>
      <c r="U30" s="140"/>
      <c r="V30" s="140"/>
      <c r="W30" s="140"/>
      <c r="X30" s="140"/>
      <c r="Y30" s="137"/>
      <c r="Z30" s="137"/>
      <c r="AA30" s="137"/>
    </row>
    <row r="31" spans="2:27" s="136" customFormat="1" ht="15">
      <c r="B31" s="137" t="s">
        <v>2093</v>
      </c>
      <c r="C31" s="136" t="s">
        <v>2096</v>
      </c>
      <c r="D31" s="136" t="s">
        <v>2097</v>
      </c>
      <c r="E31" s="136" t="s">
        <v>2412</v>
      </c>
      <c r="F31" s="136" t="s">
        <v>2413</v>
      </c>
      <c r="G31" s="137" t="s">
        <v>2102</v>
      </c>
      <c r="H31" s="138" t="s">
        <v>2414</v>
      </c>
      <c r="I31" s="137" t="s">
        <v>2534</v>
      </c>
      <c r="J31" s="136" t="s">
        <v>2535</v>
      </c>
      <c r="K31" s="136" t="s">
        <v>2536</v>
      </c>
      <c r="L31" s="137"/>
      <c r="M31" s="137"/>
      <c r="N31" s="137"/>
      <c r="O31" s="137"/>
      <c r="P31" s="137"/>
      <c r="R31" s="137"/>
      <c r="S31" s="139"/>
      <c r="T31" s="140"/>
      <c r="U31" s="140"/>
      <c r="V31" s="140"/>
      <c r="W31" s="140"/>
      <c r="X31" s="140"/>
      <c r="Y31" s="137"/>
      <c r="Z31" s="137"/>
      <c r="AA31" s="137"/>
    </row>
    <row r="32" spans="1:24" s="141" customFormat="1" ht="14.25">
      <c r="A32" s="141" t="s">
        <v>1734</v>
      </c>
      <c r="C32" s="141">
        <v>4.08</v>
      </c>
      <c r="D32" s="141" t="s">
        <v>2416</v>
      </c>
      <c r="E32" s="141" t="s">
        <v>2415</v>
      </c>
      <c r="F32" s="141" t="s">
        <v>1751</v>
      </c>
      <c r="G32" s="141" t="s">
        <v>1751</v>
      </c>
      <c r="H32" s="141" t="s">
        <v>2533</v>
      </c>
      <c r="I32" s="141">
        <v>0.5461</v>
      </c>
      <c r="J32" s="141">
        <v>0.5175</v>
      </c>
      <c r="K32" s="142">
        <v>2.1639</v>
      </c>
      <c r="S32" s="143"/>
      <c r="T32" s="143"/>
      <c r="U32" s="143"/>
      <c r="V32" s="143"/>
      <c r="W32" s="143"/>
      <c r="X32" s="143"/>
    </row>
    <row r="33" spans="11:24" s="84" customFormat="1" ht="14.25">
      <c r="K33" s="144"/>
      <c r="S33" s="130"/>
      <c r="T33" s="130"/>
      <c r="U33" s="130"/>
      <c r="V33" s="130"/>
      <c r="W33" s="130"/>
      <c r="X33" s="130"/>
    </row>
    <row r="34" ht="12.75">
      <c r="R34">
        <f>0.25*20</f>
        <v>5</v>
      </c>
    </row>
    <row r="35" ht="12.75"/>
    <row r="36" ht="12.75"/>
    <row r="37" ht="12.75"/>
    <row r="38" ht="12.75"/>
    <row r="39" ht="12.75"/>
    <row r="40" ht="12.75"/>
    <row r="41" ht="12.75"/>
    <row r="42" ht="12.75"/>
    <row r="43" ht="12.75"/>
    <row r="44" ht="12.75"/>
    <row r="45" ht="12.75"/>
    <row r="46" ht="12.75"/>
    <row r="48" ht="12.75"/>
    <row r="50" ht="12.75"/>
    <row r="51" ht="12.75"/>
    <row r="52" ht="12.75"/>
    <row r="53" ht="12.75"/>
    <row r="54" ht="12.75"/>
    <row r="55" ht="12.75"/>
    <row r="56" ht="12.75"/>
    <row r="57" ht="12.75"/>
    <row r="58" ht="12.75"/>
    <row r="64" ht="12.75"/>
    <row r="65" ht="12.75"/>
    <row r="66" ht="12.75"/>
    <row r="67" ht="12.75"/>
    <row r="68" ht="12.75"/>
    <row r="69" ht="12.75"/>
    <row r="70" ht="12.75"/>
    <row r="71" ht="12.75"/>
    <row r="72" ht="12.75"/>
    <row r="73" ht="12.75"/>
    <row r="75" ht="12.75"/>
    <row r="76" ht="12.75"/>
  </sheetData>
  <sheetProtection/>
  <mergeCells count="3">
    <mergeCell ref="A1:D1"/>
    <mergeCell ref="K1:M1"/>
    <mergeCell ref="O1:Q1"/>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W21"/>
  <sheetViews>
    <sheetView zoomScalePageLayoutView="0" workbookViewId="0" topLeftCell="A1">
      <pane ySplit="1" topLeftCell="A2" activePane="bottomLeft" state="frozen"/>
      <selection pane="topLeft" activeCell="A1" sqref="A1"/>
      <selection pane="bottomLeft" activeCell="D9" sqref="D9"/>
    </sheetView>
  </sheetViews>
  <sheetFormatPr defaultColWidth="10.8515625" defaultRowHeight="12.75"/>
  <cols>
    <col min="1" max="2" width="10.8515625" style="0" customWidth="1"/>
    <col min="3" max="3" width="16.57421875" style="0" customWidth="1"/>
    <col min="4" max="6" width="10.8515625" style="0" customWidth="1"/>
    <col min="7" max="7" width="47.8515625" style="0" customWidth="1"/>
    <col min="8" max="8" width="21.8515625" style="0" customWidth="1"/>
    <col min="9" max="17" width="10.8515625" style="0" customWidth="1"/>
    <col min="18" max="18" width="21.00390625" style="0" customWidth="1"/>
    <col min="19" max="19" width="20.57421875" style="0" customWidth="1"/>
    <col min="20" max="20" width="10.8515625" style="0" customWidth="1"/>
    <col min="21" max="21" width="29.8515625" style="0" customWidth="1"/>
  </cols>
  <sheetData>
    <row r="1" spans="1:23" ht="25.5" customHeight="1">
      <c r="A1" s="647" t="s">
        <v>2625</v>
      </c>
      <c r="B1" s="647"/>
      <c r="C1" s="647"/>
      <c r="D1" s="647"/>
      <c r="E1" s="79" t="s">
        <v>2626</v>
      </c>
      <c r="F1" s="79" t="s">
        <v>2627</v>
      </c>
      <c r="G1" s="1" t="s">
        <v>1712</v>
      </c>
      <c r="H1" s="1" t="s">
        <v>1711</v>
      </c>
      <c r="I1" s="18" t="s">
        <v>1708</v>
      </c>
      <c r="J1" s="645" t="s">
        <v>1709</v>
      </c>
      <c r="K1" s="646"/>
      <c r="L1" s="646"/>
      <c r="M1" s="1" t="s">
        <v>1710</v>
      </c>
      <c r="N1" s="645" t="s">
        <v>1713</v>
      </c>
      <c r="O1" s="646"/>
      <c r="P1" s="646"/>
      <c r="Q1" s="1" t="s">
        <v>2492</v>
      </c>
      <c r="R1" s="51" t="s">
        <v>2527</v>
      </c>
      <c r="S1" s="51" t="s">
        <v>2528</v>
      </c>
      <c r="T1" s="51" t="s">
        <v>2529</v>
      </c>
      <c r="U1" s="51" t="s">
        <v>2530</v>
      </c>
      <c r="V1" s="51" t="s">
        <v>2532</v>
      </c>
      <c r="W1" s="52" t="s">
        <v>2531</v>
      </c>
    </row>
    <row r="2" spans="1:6" s="203" customFormat="1" ht="47.25">
      <c r="A2" s="21" t="s">
        <v>1069</v>
      </c>
      <c r="B2" s="202" t="s">
        <v>418</v>
      </c>
      <c r="C2" s="22" t="s">
        <v>1479</v>
      </c>
      <c r="D2" s="24" t="s">
        <v>2078</v>
      </c>
      <c r="E2" s="23">
        <v>11700</v>
      </c>
      <c r="F2" s="23">
        <v>12635</v>
      </c>
    </row>
    <row r="3" spans="1:6" s="14" customFormat="1" ht="12.75">
      <c r="A3" s="4" t="s">
        <v>1070</v>
      </c>
      <c r="B3" s="5" t="s">
        <v>418</v>
      </c>
      <c r="C3" s="7" t="s">
        <v>1480</v>
      </c>
      <c r="D3" s="8" t="s">
        <v>2016</v>
      </c>
      <c r="E3" s="27">
        <v>10550</v>
      </c>
      <c r="F3" s="27">
        <v>11434</v>
      </c>
    </row>
    <row r="4" s="14" customFormat="1" ht="12.75"/>
    <row r="5" spans="1:23" s="13" customFormat="1" ht="38.25">
      <c r="A5" s="9" t="s">
        <v>1071</v>
      </c>
      <c r="B5" s="15" t="s">
        <v>418</v>
      </c>
      <c r="C5" s="11" t="s">
        <v>1481</v>
      </c>
      <c r="D5" s="10" t="s">
        <v>2017</v>
      </c>
      <c r="E5" s="26">
        <v>10470</v>
      </c>
      <c r="F5" s="26">
        <v>11347</v>
      </c>
      <c r="G5" s="13" t="s">
        <v>2540</v>
      </c>
      <c r="H5" s="16" t="s">
        <v>413</v>
      </c>
      <c r="I5" s="13">
        <v>12</v>
      </c>
      <c r="J5" s="13" t="s">
        <v>413</v>
      </c>
      <c r="M5" s="13" t="s">
        <v>413</v>
      </c>
      <c r="N5" s="13" t="s">
        <v>413</v>
      </c>
      <c r="O5" s="13" t="s">
        <v>413</v>
      </c>
      <c r="P5" s="13" t="s">
        <v>413</v>
      </c>
      <c r="Q5" s="13" t="s">
        <v>413</v>
      </c>
      <c r="R5" s="13" t="s">
        <v>413</v>
      </c>
      <c r="S5" s="13">
        <v>0.02423</v>
      </c>
      <c r="U5" s="13">
        <v>0.01428</v>
      </c>
      <c r="W5" s="13">
        <v>0.00496</v>
      </c>
    </row>
    <row r="6" spans="1:6" s="14" customFormat="1" ht="12.75">
      <c r="A6" s="4" t="s">
        <v>1072</v>
      </c>
      <c r="B6" s="5" t="s">
        <v>418</v>
      </c>
      <c r="C6" s="7" t="s">
        <v>1482</v>
      </c>
      <c r="D6" s="8" t="s">
        <v>2018</v>
      </c>
      <c r="E6" s="27">
        <v>8780</v>
      </c>
      <c r="F6" s="27">
        <v>9515</v>
      </c>
    </row>
    <row r="7" spans="1:6" s="14" customFormat="1" ht="25.5">
      <c r="A7" s="4" t="s">
        <v>1073</v>
      </c>
      <c r="B7" s="5" t="s">
        <v>418</v>
      </c>
      <c r="C7" s="7" t="s">
        <v>1483</v>
      </c>
      <c r="D7" s="39"/>
      <c r="E7" s="27">
        <v>7810</v>
      </c>
      <c r="F7" s="27">
        <v>8464</v>
      </c>
    </row>
    <row r="8" spans="1:6" ht="25.5">
      <c r="A8" s="4" t="s">
        <v>1074</v>
      </c>
      <c r="B8" s="5" t="s">
        <v>418</v>
      </c>
      <c r="C8" s="2" t="s">
        <v>1484</v>
      </c>
      <c r="D8" s="3" t="s">
        <v>2019</v>
      </c>
      <c r="E8" s="25">
        <v>970</v>
      </c>
      <c r="F8" s="25">
        <v>1051</v>
      </c>
    </row>
    <row r="9" spans="1:6" ht="25.5">
      <c r="A9" s="4" t="s">
        <v>1075</v>
      </c>
      <c r="B9" s="5" t="s">
        <v>418</v>
      </c>
      <c r="C9" s="2" t="s">
        <v>1485</v>
      </c>
      <c r="D9" s="3" t="s">
        <v>2022</v>
      </c>
      <c r="E9" s="25">
        <v>1690</v>
      </c>
      <c r="F9" s="25">
        <v>1832</v>
      </c>
    </row>
    <row r="10" spans="1:6" ht="25.5">
      <c r="A10" s="4" t="s">
        <v>1076</v>
      </c>
      <c r="B10" s="5" t="s">
        <v>418</v>
      </c>
      <c r="C10" s="2" t="s">
        <v>1486</v>
      </c>
      <c r="D10" s="3" t="s">
        <v>2023</v>
      </c>
      <c r="E10" s="25">
        <v>760</v>
      </c>
      <c r="F10" s="25">
        <v>824</v>
      </c>
    </row>
    <row r="11" spans="1:6" ht="12.75">
      <c r="A11" s="4" t="s">
        <v>1077</v>
      </c>
      <c r="B11" s="5" t="s">
        <v>418</v>
      </c>
      <c r="C11" s="2" t="s">
        <v>1487</v>
      </c>
      <c r="D11" s="3"/>
      <c r="E11" s="25">
        <v>930</v>
      </c>
      <c r="F11" s="25">
        <v>1008</v>
      </c>
    </row>
    <row r="12" spans="1:6" ht="38.25">
      <c r="A12" s="4" t="s">
        <v>1078</v>
      </c>
      <c r="B12" s="5" t="s">
        <v>418</v>
      </c>
      <c r="C12" s="2" t="s">
        <v>1488</v>
      </c>
      <c r="D12" s="3"/>
      <c r="E12" s="25">
        <v>0</v>
      </c>
      <c r="F12" s="25">
        <v>0</v>
      </c>
    </row>
    <row r="13" spans="1:23" s="33" customFormat="1" ht="12.75">
      <c r="A13" s="4" t="s">
        <v>1079</v>
      </c>
      <c r="B13" s="5" t="s">
        <v>418</v>
      </c>
      <c r="C13" s="2" t="s">
        <v>1489</v>
      </c>
      <c r="D13" s="3" t="s">
        <v>2020</v>
      </c>
      <c r="E13" s="25">
        <v>90</v>
      </c>
      <c r="F13" s="25">
        <v>98</v>
      </c>
      <c r="G13"/>
      <c r="H13"/>
      <c r="I13"/>
      <c r="J13"/>
      <c r="K13"/>
      <c r="L13"/>
      <c r="M13"/>
      <c r="N13"/>
      <c r="O13"/>
      <c r="P13"/>
      <c r="Q13"/>
      <c r="R13"/>
      <c r="S13"/>
      <c r="T13"/>
      <c r="U13"/>
      <c r="V13"/>
      <c r="W13"/>
    </row>
    <row r="14" spans="1:6" s="33" customFormat="1" ht="25.5">
      <c r="A14" s="29" t="s">
        <v>1080</v>
      </c>
      <c r="B14" s="42" t="s">
        <v>418</v>
      </c>
      <c r="C14" s="31" t="s">
        <v>1490</v>
      </c>
      <c r="D14" s="30" t="s">
        <v>2021</v>
      </c>
      <c r="E14" s="32">
        <v>1150</v>
      </c>
      <c r="F14" s="32">
        <v>1211</v>
      </c>
    </row>
    <row r="15" spans="1:23" s="13" customFormat="1" ht="12.75">
      <c r="A15" s="9" t="s">
        <v>1081</v>
      </c>
      <c r="B15" s="15" t="s">
        <v>418</v>
      </c>
      <c r="C15" s="11" t="s">
        <v>1491</v>
      </c>
      <c r="D15" s="10" t="s">
        <v>3013</v>
      </c>
      <c r="E15" s="26">
        <v>1000</v>
      </c>
      <c r="F15" s="26">
        <v>1053</v>
      </c>
      <c r="G15" s="16" t="s">
        <v>2595</v>
      </c>
      <c r="H15" s="16" t="s">
        <v>413</v>
      </c>
      <c r="I15" s="13">
        <v>12</v>
      </c>
      <c r="J15" s="13" t="s">
        <v>413</v>
      </c>
      <c r="M15" s="13" t="s">
        <v>413</v>
      </c>
      <c r="N15" s="13" t="s">
        <v>413</v>
      </c>
      <c r="O15" s="13" t="s">
        <v>413</v>
      </c>
      <c r="P15" s="13" t="s">
        <v>413</v>
      </c>
      <c r="Q15" s="13" t="s">
        <v>413</v>
      </c>
      <c r="R15" s="13" t="s">
        <v>413</v>
      </c>
      <c r="S15" s="13">
        <v>0.02423</v>
      </c>
      <c r="U15" s="13">
        <v>0.01428</v>
      </c>
      <c r="W15" s="13">
        <v>0.00496</v>
      </c>
    </row>
    <row r="16" spans="1:8" ht="12.75">
      <c r="A16" s="4" t="s">
        <v>1082</v>
      </c>
      <c r="B16" s="5" t="s">
        <v>418</v>
      </c>
      <c r="C16" s="2" t="s">
        <v>1492</v>
      </c>
      <c r="D16" s="3"/>
      <c r="E16" s="25" t="s">
        <v>1689</v>
      </c>
      <c r="F16" s="25" t="s">
        <v>1689</v>
      </c>
      <c r="H16" s="17" t="s">
        <v>413</v>
      </c>
    </row>
    <row r="17" spans="1:6" ht="12.75">
      <c r="A17" s="4" t="s">
        <v>1083</v>
      </c>
      <c r="B17" s="5" t="s">
        <v>418</v>
      </c>
      <c r="C17" s="2" t="s">
        <v>1493</v>
      </c>
      <c r="D17" s="3"/>
      <c r="E17" s="25" t="s">
        <v>1689</v>
      </c>
      <c r="F17" s="25" t="s">
        <v>1689</v>
      </c>
    </row>
    <row r="19" s="54" customFormat="1" ht="12.75">
      <c r="A19" s="54" t="s">
        <v>2541</v>
      </c>
    </row>
    <row r="20" spans="1:23" s="13" customFormat="1" ht="12.75">
      <c r="A20" s="16" t="s">
        <v>2542</v>
      </c>
      <c r="R20" s="16"/>
      <c r="S20" s="13">
        <v>0.007</v>
      </c>
      <c r="T20" s="16" t="s">
        <v>413</v>
      </c>
      <c r="U20" s="13">
        <v>0.012</v>
      </c>
      <c r="V20" s="16" t="s">
        <v>413</v>
      </c>
      <c r="W20" s="13">
        <v>0.077</v>
      </c>
    </row>
    <row r="21" spans="1:23" s="13" customFormat="1" ht="12.75">
      <c r="A21" s="16" t="s">
        <v>2543</v>
      </c>
      <c r="R21" s="16"/>
      <c r="S21" s="13">
        <v>0.028</v>
      </c>
      <c r="T21" s="16" t="s">
        <v>413</v>
      </c>
      <c r="U21" s="13">
        <v>0.061</v>
      </c>
      <c r="V21" s="16" t="s">
        <v>413</v>
      </c>
      <c r="W21" s="13">
        <v>0.516</v>
      </c>
    </row>
  </sheetData>
  <sheetProtection/>
  <mergeCells count="3">
    <mergeCell ref="J1:L1"/>
    <mergeCell ref="N1:P1"/>
    <mergeCell ref="A1:D1"/>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Z72"/>
  <sheetViews>
    <sheetView zoomScalePageLayoutView="0" workbookViewId="0" topLeftCell="A1">
      <pane ySplit="1" topLeftCell="A2" activePane="bottomLeft" state="frozen"/>
      <selection pane="topLeft" activeCell="A1" sqref="A1"/>
      <selection pane="bottomLeft" activeCell="C4" sqref="C4"/>
    </sheetView>
  </sheetViews>
  <sheetFormatPr defaultColWidth="11.421875" defaultRowHeight="12.75"/>
  <cols>
    <col min="1" max="1" width="19.00390625" style="262" customWidth="1"/>
    <col min="2" max="6" width="10.8515625" style="262" customWidth="1"/>
    <col min="7" max="8" width="32.28125" style="262" customWidth="1"/>
    <col min="9" max="9" width="21.8515625" style="262" customWidth="1"/>
    <col min="10" max="18" width="11.421875" style="262" customWidth="1"/>
    <col min="19" max="25" width="11.421875" style="309" customWidth="1"/>
    <col min="26" max="16384" width="11.421875" style="262" customWidth="1"/>
  </cols>
  <sheetData>
    <row r="1" spans="1:25" s="304" customFormat="1" ht="51" customHeight="1">
      <c r="A1" s="647" t="s">
        <v>2625</v>
      </c>
      <c r="B1" s="647"/>
      <c r="C1" s="647"/>
      <c r="D1" s="647"/>
      <c r="E1" s="304" t="s">
        <v>2071</v>
      </c>
      <c r="F1" s="304" t="s">
        <v>2072</v>
      </c>
      <c r="G1" s="1" t="s">
        <v>1712</v>
      </c>
      <c r="H1" s="1" t="s">
        <v>1711</v>
      </c>
      <c r="I1" s="18" t="s">
        <v>1708</v>
      </c>
      <c r="J1" s="645" t="s">
        <v>1709</v>
      </c>
      <c r="K1" s="646"/>
      <c r="L1" s="646"/>
      <c r="M1" s="1" t="s">
        <v>1710</v>
      </c>
      <c r="N1" s="645" t="s">
        <v>1713</v>
      </c>
      <c r="O1" s="646"/>
      <c r="P1" s="646"/>
      <c r="Q1" s="1" t="s">
        <v>2492</v>
      </c>
      <c r="S1" s="51" t="s">
        <v>2527</v>
      </c>
      <c r="T1" s="51" t="s">
        <v>2528</v>
      </c>
      <c r="U1" s="51" t="s">
        <v>2529</v>
      </c>
      <c r="V1" s="51" t="s">
        <v>2530</v>
      </c>
      <c r="W1" s="51" t="s">
        <v>2532</v>
      </c>
      <c r="X1" s="52" t="s">
        <v>2531</v>
      </c>
      <c r="Y1" s="631"/>
    </row>
    <row r="2" spans="1:25" s="637" customFormat="1" ht="30" customHeight="1">
      <c r="A2" s="632" t="s">
        <v>913</v>
      </c>
      <c r="B2" s="633" t="s">
        <v>194</v>
      </c>
      <c r="C2" s="634" t="s">
        <v>1370</v>
      </c>
      <c r="D2" s="635" t="s">
        <v>1370</v>
      </c>
      <c r="E2" s="636">
        <v>43700</v>
      </c>
      <c r="F2" s="636">
        <v>43243</v>
      </c>
      <c r="S2" s="638"/>
      <c r="T2" s="638"/>
      <c r="U2" s="638"/>
      <c r="V2" s="638"/>
      <c r="W2" s="638"/>
      <c r="X2" s="638"/>
      <c r="Y2" s="638"/>
    </row>
    <row r="3" spans="1:25" s="297" customFormat="1" ht="25.5">
      <c r="A3" s="302" t="s">
        <v>914</v>
      </c>
      <c r="B3" s="301" t="s">
        <v>194</v>
      </c>
      <c r="C3" s="300" t="s">
        <v>1371</v>
      </c>
      <c r="D3" s="299" t="s">
        <v>1933</v>
      </c>
      <c r="E3" s="298">
        <v>17010</v>
      </c>
      <c r="F3" s="298">
        <v>17178</v>
      </c>
      <c r="S3" s="331"/>
      <c r="T3" s="331"/>
      <c r="U3" s="331"/>
      <c r="V3" s="331"/>
      <c r="W3" s="331"/>
      <c r="X3" s="331"/>
      <c r="Y3" s="331"/>
    </row>
    <row r="4" spans="1:25" s="284" customFormat="1" ht="25.5">
      <c r="A4" s="289" t="s">
        <v>915</v>
      </c>
      <c r="B4" s="288" t="s">
        <v>196</v>
      </c>
      <c r="C4" s="287" t="s">
        <v>1372</v>
      </c>
      <c r="D4" s="286" t="s">
        <v>1934</v>
      </c>
      <c r="E4" s="285">
        <v>15620</v>
      </c>
      <c r="F4" s="285">
        <v>15775</v>
      </c>
      <c r="S4" s="330"/>
      <c r="T4" s="330"/>
      <c r="U4" s="330"/>
      <c r="V4" s="330"/>
      <c r="W4" s="330"/>
      <c r="X4" s="330"/>
      <c r="Y4" s="330"/>
    </row>
    <row r="5" spans="1:25" s="269" customFormat="1" ht="25.5">
      <c r="A5" s="276" t="s">
        <v>916</v>
      </c>
      <c r="B5" s="275" t="s">
        <v>198</v>
      </c>
      <c r="C5" s="274" t="s">
        <v>1373</v>
      </c>
      <c r="D5" s="273" t="s">
        <v>1935</v>
      </c>
      <c r="E5" s="272">
        <v>10080</v>
      </c>
      <c r="F5" s="272">
        <v>10180</v>
      </c>
      <c r="G5" s="269" t="s">
        <v>2659</v>
      </c>
      <c r="H5" s="269">
        <f>((I5*('[1]Sheet6'!D$3/'[1]Sheet6'!E$3))*('[1]Sheet6'!C$3/'[1]Sheet6'!D$3))*('[1]Sheet6'!B$3/'[1]Sheet6'!C$3)</f>
        <v>220702.76125904327</v>
      </c>
      <c r="I5" s="269">
        <v>223900</v>
      </c>
      <c r="J5" s="332">
        <v>0.25</v>
      </c>
      <c r="K5" s="269" t="s">
        <v>2658</v>
      </c>
      <c r="L5" s="328" t="s">
        <v>2657</v>
      </c>
      <c r="N5" s="328" t="s">
        <v>2439</v>
      </c>
      <c r="O5" s="328" t="s">
        <v>413</v>
      </c>
      <c r="P5" s="328" t="s">
        <v>413</v>
      </c>
      <c r="Q5" s="328" t="s">
        <v>413</v>
      </c>
      <c r="R5" s="269">
        <v>1147.5</v>
      </c>
      <c r="S5" s="270">
        <f>7847.66/R5</f>
        <v>6.838919389978213</v>
      </c>
      <c r="T5" s="270">
        <v>0.03556</v>
      </c>
      <c r="U5" s="270">
        <f>574.0296/R5</f>
        <v>0.500243660130719</v>
      </c>
      <c r="V5" s="270">
        <v>0.0026</v>
      </c>
      <c r="W5" s="270">
        <f>406973.6/R5</f>
        <v>354.66108932461873</v>
      </c>
      <c r="X5" s="270">
        <v>1.84399</v>
      </c>
      <c r="Y5" s="270"/>
    </row>
    <row r="6" spans="1:25" s="269" customFormat="1" ht="38.25">
      <c r="A6" s="276" t="s">
        <v>917</v>
      </c>
      <c r="B6" s="275" t="s">
        <v>198</v>
      </c>
      <c r="C6" s="274" t="s">
        <v>1374</v>
      </c>
      <c r="D6" s="273" t="s">
        <v>1936</v>
      </c>
      <c r="E6" s="272">
        <v>5540</v>
      </c>
      <c r="F6" s="272">
        <v>5595</v>
      </c>
      <c r="G6" s="328" t="s">
        <v>2643</v>
      </c>
      <c r="H6" s="328" t="s">
        <v>413</v>
      </c>
      <c r="I6" s="328" t="s">
        <v>413</v>
      </c>
      <c r="J6" s="332">
        <v>0.25</v>
      </c>
      <c r="K6" s="328" t="s">
        <v>413</v>
      </c>
      <c r="L6" s="328" t="s">
        <v>413</v>
      </c>
      <c r="M6" s="328" t="s">
        <v>413</v>
      </c>
      <c r="N6" s="328" t="s">
        <v>413</v>
      </c>
      <c r="O6" s="328" t="s">
        <v>413</v>
      </c>
      <c r="P6" s="328" t="s">
        <v>413</v>
      </c>
      <c r="Q6" s="328" t="s">
        <v>413</v>
      </c>
      <c r="R6" s="328" t="s">
        <v>413</v>
      </c>
      <c r="S6" s="277" t="s">
        <v>413</v>
      </c>
      <c r="T6" s="270">
        <v>0.00021</v>
      </c>
      <c r="U6" s="277" t="s">
        <v>413</v>
      </c>
      <c r="V6" s="277">
        <v>0</v>
      </c>
      <c r="W6" s="277" t="s">
        <v>413</v>
      </c>
      <c r="X6" s="270">
        <v>0</v>
      </c>
      <c r="Y6" s="270"/>
    </row>
    <row r="7" spans="1:6" ht="38.25">
      <c r="A7" s="267" t="s">
        <v>918</v>
      </c>
      <c r="B7" s="266" t="s">
        <v>198</v>
      </c>
      <c r="C7" s="265" t="s">
        <v>1375</v>
      </c>
      <c r="D7" s="264"/>
      <c r="E7" s="263">
        <v>2960</v>
      </c>
      <c r="F7" s="263">
        <v>2989</v>
      </c>
    </row>
    <row r="8" spans="1:6" ht="63.75">
      <c r="A8" s="267" t="s">
        <v>919</v>
      </c>
      <c r="B8" s="266" t="s">
        <v>198</v>
      </c>
      <c r="C8" s="265" t="s">
        <v>1376</v>
      </c>
      <c r="D8" s="264"/>
      <c r="E8" s="263">
        <v>7140</v>
      </c>
      <c r="F8" s="263">
        <v>7211</v>
      </c>
    </row>
    <row r="9" spans="1:25" s="269" customFormat="1" ht="51">
      <c r="A9" s="276" t="s">
        <v>920</v>
      </c>
      <c r="B9" s="275" t="s">
        <v>198</v>
      </c>
      <c r="C9" s="274" t="s">
        <v>1377</v>
      </c>
      <c r="D9" s="273" t="s">
        <v>2656</v>
      </c>
      <c r="E9" s="272">
        <v>810</v>
      </c>
      <c r="F9" s="272">
        <v>818</v>
      </c>
      <c r="G9" s="269" t="s">
        <v>2655</v>
      </c>
      <c r="H9" s="269">
        <f>((I9*('[1]Sheet6'!D$3/'[1]Sheet6'!E$3))*('[1]Sheet6'!C$3/'[1]Sheet6'!D$3))*('[1]Sheet6'!B$3/'[1]Sheet6'!C$3)</f>
        <v>16249.105261164354</v>
      </c>
      <c r="I9" s="269">
        <v>16484.5</v>
      </c>
      <c r="J9" s="296">
        <v>0.25</v>
      </c>
      <c r="K9" s="269" t="s">
        <v>2654</v>
      </c>
      <c r="L9" s="328" t="s">
        <v>2653</v>
      </c>
      <c r="N9" s="269" t="s">
        <v>2145</v>
      </c>
      <c r="R9" s="269">
        <v>149.747</v>
      </c>
      <c r="S9" s="270">
        <f>704.6089/R9</f>
        <v>4.705328988226809</v>
      </c>
      <c r="T9" s="270">
        <v>0.04336</v>
      </c>
      <c r="U9" s="270">
        <f>36.6784/R9</f>
        <v>0.24493579170200405</v>
      </c>
      <c r="V9" s="270">
        <v>0.00226</v>
      </c>
      <c r="W9" s="270">
        <f>125197.4335/R9</f>
        <v>836.0597107120676</v>
      </c>
      <c r="X9" s="270">
        <v>7.70488</v>
      </c>
      <c r="Y9" s="270"/>
    </row>
    <row r="10" spans="1:6" ht="25.5">
      <c r="A10" s="268" t="s">
        <v>1678</v>
      </c>
      <c r="B10" s="266" t="s">
        <v>198</v>
      </c>
      <c r="C10" s="265" t="s">
        <v>1675</v>
      </c>
      <c r="D10" s="264"/>
      <c r="E10" s="263" t="s">
        <v>1689</v>
      </c>
      <c r="F10" s="263" t="s">
        <v>1689</v>
      </c>
    </row>
    <row r="11" spans="1:6" ht="12.75">
      <c r="A11" s="268" t="s">
        <v>1679</v>
      </c>
      <c r="B11" s="266" t="s">
        <v>198</v>
      </c>
      <c r="C11" s="265" t="s">
        <v>1676</v>
      </c>
      <c r="D11" s="264"/>
      <c r="E11" s="263" t="s">
        <v>1689</v>
      </c>
      <c r="F11" s="263" t="s">
        <v>1689</v>
      </c>
    </row>
    <row r="12" spans="1:6" ht="12.75">
      <c r="A12" s="268" t="s">
        <v>1680</v>
      </c>
      <c r="B12" s="266" t="s">
        <v>198</v>
      </c>
      <c r="C12" s="265" t="s">
        <v>1677</v>
      </c>
      <c r="D12" s="264"/>
      <c r="E12" s="263" t="s">
        <v>1689</v>
      </c>
      <c r="F12" s="263" t="s">
        <v>1689</v>
      </c>
    </row>
    <row r="13" spans="1:25" s="269" customFormat="1" ht="12.75">
      <c r="A13" s="276" t="s">
        <v>921</v>
      </c>
      <c r="B13" s="275" t="s">
        <v>198</v>
      </c>
      <c r="C13" s="274" t="s">
        <v>1378</v>
      </c>
      <c r="D13" s="273" t="s">
        <v>1937</v>
      </c>
      <c r="E13" s="272">
        <v>580</v>
      </c>
      <c r="F13" s="272">
        <v>586</v>
      </c>
      <c r="G13" s="269" t="s">
        <v>2652</v>
      </c>
      <c r="H13" s="269">
        <f>((I13*('[1]Sheet6'!D$3/'[1]Sheet6'!E$3))*('[1]Sheet6'!C$3/'[1]Sheet6'!D$3))*('[1]Sheet6'!B$3/'[1]Sheet6'!C$3)</f>
        <v>6952.7776978144775</v>
      </c>
      <c r="I13" s="269">
        <v>7053.5</v>
      </c>
      <c r="J13" s="296">
        <v>0.25</v>
      </c>
      <c r="K13" s="269" t="s">
        <v>2651</v>
      </c>
      <c r="L13" s="269" t="s">
        <v>2650</v>
      </c>
      <c r="N13" s="269" t="s">
        <v>2649</v>
      </c>
      <c r="R13" s="269">
        <v>16.99</v>
      </c>
      <c r="S13" s="270">
        <f>144.3621/R13</f>
        <v>8.496886403766922</v>
      </c>
      <c r="T13" s="270">
        <v>0.02076</v>
      </c>
      <c r="U13" s="270">
        <f>7.9884/R13</f>
        <v>0.47018246027074756</v>
      </c>
      <c r="V13" s="270">
        <v>0.00115</v>
      </c>
      <c r="W13" s="270">
        <f>5869.645/R13</f>
        <v>345.4764567392584</v>
      </c>
      <c r="X13" s="270">
        <v>0.84422</v>
      </c>
      <c r="Y13" s="270"/>
    </row>
    <row r="14" spans="1:6" ht="38.25">
      <c r="A14" s="267" t="s">
        <v>922</v>
      </c>
      <c r="B14" s="266" t="s">
        <v>418</v>
      </c>
      <c r="C14" s="265" t="s">
        <v>1379</v>
      </c>
      <c r="D14" s="264" t="s">
        <v>1938</v>
      </c>
      <c r="E14" s="263">
        <v>0</v>
      </c>
      <c r="F14" s="263">
        <v>0</v>
      </c>
    </row>
    <row r="15" spans="1:6" ht="51">
      <c r="A15" s="268" t="s">
        <v>1681</v>
      </c>
      <c r="B15" s="266" t="s">
        <v>418</v>
      </c>
      <c r="C15" s="265" t="s">
        <v>1672</v>
      </c>
      <c r="D15" s="264" t="s">
        <v>1939</v>
      </c>
      <c r="E15" s="263">
        <v>0</v>
      </c>
      <c r="F15" s="263">
        <v>0</v>
      </c>
    </row>
    <row r="16" spans="1:25" s="297" customFormat="1" ht="63.75">
      <c r="A16" s="302" t="s">
        <v>923</v>
      </c>
      <c r="B16" s="301" t="s">
        <v>194</v>
      </c>
      <c r="C16" s="300" t="s">
        <v>1380</v>
      </c>
      <c r="D16" s="299" t="s">
        <v>1940</v>
      </c>
      <c r="E16" s="298">
        <v>22070</v>
      </c>
      <c r="F16" s="298">
        <v>21413</v>
      </c>
      <c r="S16" s="331"/>
      <c r="T16" s="331"/>
      <c r="U16" s="331"/>
      <c r="V16" s="331"/>
      <c r="W16" s="331"/>
      <c r="X16" s="331"/>
      <c r="Y16" s="331"/>
    </row>
    <row r="17" spans="1:25" s="269" customFormat="1" ht="76.5">
      <c r="A17" s="276" t="s">
        <v>924</v>
      </c>
      <c r="B17" s="275" t="s">
        <v>418</v>
      </c>
      <c r="C17" s="274" t="s">
        <v>1381</v>
      </c>
      <c r="D17" s="273" t="s">
        <v>1941</v>
      </c>
      <c r="E17" s="272">
        <v>2260</v>
      </c>
      <c r="F17" s="272">
        <v>2193</v>
      </c>
      <c r="G17" s="328" t="s">
        <v>2648</v>
      </c>
      <c r="H17" s="269">
        <f>((I17*('[1]Sheet6'!D$4/'[1]Sheet6'!E$4))*('[1]Sheet6'!C$4/'[1]Sheet6'!D$4))*('[1]Sheet6'!B$4/'[1]Sheet6'!C$4)</f>
        <v>901.0928152853321</v>
      </c>
      <c r="I17" s="269">
        <v>1012.7</v>
      </c>
      <c r="J17" s="296">
        <v>0.25</v>
      </c>
      <c r="K17" s="269" t="s">
        <v>2647</v>
      </c>
      <c r="L17" s="269" t="s">
        <v>2646</v>
      </c>
      <c r="N17" s="328" t="s">
        <v>2645</v>
      </c>
      <c r="R17" s="269">
        <v>10.2</v>
      </c>
      <c r="S17" s="270">
        <f>22.53/R17</f>
        <v>2.208823529411765</v>
      </c>
      <c r="T17" s="270">
        <v>0.025</v>
      </c>
      <c r="U17" s="270">
        <f>1.7208/R17</f>
        <v>0.1687058823529412</v>
      </c>
      <c r="V17" s="270">
        <v>0.00191</v>
      </c>
      <c r="W17" s="270">
        <f>54375.7456/R17</f>
        <v>5330.955450980393</v>
      </c>
      <c r="X17" s="270">
        <f>60.3441</f>
        <v>60.3441</v>
      </c>
      <c r="Y17" s="270"/>
    </row>
    <row r="18" spans="1:6" ht="12.75">
      <c r="A18" s="267" t="s">
        <v>925</v>
      </c>
      <c r="B18" s="266" t="s">
        <v>418</v>
      </c>
      <c r="C18" s="265" t="s">
        <v>1382</v>
      </c>
      <c r="D18" s="264" t="s">
        <v>1942</v>
      </c>
      <c r="E18" s="263" t="s">
        <v>1689</v>
      </c>
      <c r="F18" s="263" t="s">
        <v>1689</v>
      </c>
    </row>
    <row r="19" spans="1:6" ht="51">
      <c r="A19" s="267" t="s">
        <v>926</v>
      </c>
      <c r="B19" s="266" t="s">
        <v>418</v>
      </c>
      <c r="C19" s="265" t="s">
        <v>1383</v>
      </c>
      <c r="D19" s="264" t="s">
        <v>1943</v>
      </c>
      <c r="E19" s="263">
        <v>860</v>
      </c>
      <c r="F19" s="263">
        <v>834</v>
      </c>
    </row>
    <row r="20" spans="1:6" ht="63.75">
      <c r="A20" s="267" t="s">
        <v>927</v>
      </c>
      <c r="B20" s="266" t="s">
        <v>418</v>
      </c>
      <c r="C20" s="265" t="s">
        <v>1384</v>
      </c>
      <c r="D20" s="264" t="s">
        <v>1944</v>
      </c>
      <c r="E20" s="263">
        <v>220</v>
      </c>
      <c r="F20" s="263">
        <v>213</v>
      </c>
    </row>
    <row r="21" spans="1:25" s="284" customFormat="1" ht="63.75">
      <c r="A21" s="289" t="s">
        <v>928</v>
      </c>
      <c r="B21" s="288" t="s">
        <v>194</v>
      </c>
      <c r="C21" s="287" t="s">
        <v>1385</v>
      </c>
      <c r="D21" s="286" t="s">
        <v>1945</v>
      </c>
      <c r="E21" s="285">
        <v>15690</v>
      </c>
      <c r="F21" s="285">
        <v>13794</v>
      </c>
      <c r="S21" s="330"/>
      <c r="T21" s="330"/>
      <c r="U21" s="330"/>
      <c r="V21" s="330"/>
      <c r="W21" s="330"/>
      <c r="X21" s="330"/>
      <c r="Y21" s="330"/>
    </row>
    <row r="22" spans="1:25" s="269" customFormat="1" ht="76.5">
      <c r="A22" s="276" t="s">
        <v>929</v>
      </c>
      <c r="B22" s="275" t="s">
        <v>194</v>
      </c>
      <c r="C22" s="274" t="s">
        <v>1386</v>
      </c>
      <c r="D22" s="273" t="s">
        <v>1946</v>
      </c>
      <c r="E22" s="272">
        <v>12290</v>
      </c>
      <c r="F22" s="272">
        <v>10805</v>
      </c>
      <c r="G22" s="328" t="s">
        <v>2635</v>
      </c>
      <c r="H22" s="269" t="s">
        <v>413</v>
      </c>
      <c r="I22" s="269" t="s">
        <v>413</v>
      </c>
      <c r="J22" s="269" t="s">
        <v>413</v>
      </c>
      <c r="K22" s="269" t="s">
        <v>413</v>
      </c>
      <c r="L22" s="269" t="s">
        <v>413</v>
      </c>
      <c r="M22" s="269" t="s">
        <v>413</v>
      </c>
      <c r="N22" s="269" t="s">
        <v>413</v>
      </c>
      <c r="O22" s="269" t="s">
        <v>413</v>
      </c>
      <c r="P22" s="269" t="s">
        <v>413</v>
      </c>
      <c r="Q22" s="269" t="s">
        <v>413</v>
      </c>
      <c r="R22" s="269" t="s">
        <v>413</v>
      </c>
      <c r="S22" s="269" t="s">
        <v>413</v>
      </c>
      <c r="T22" s="270">
        <v>0.2511844104764459</v>
      </c>
      <c r="U22" s="269" t="s">
        <v>413</v>
      </c>
      <c r="V22" s="270">
        <v>0.000492759452936444</v>
      </c>
      <c r="W22" s="270" t="s">
        <v>413</v>
      </c>
      <c r="X22" s="270">
        <v>0.0004625905068382944</v>
      </c>
      <c r="Y22" s="270"/>
    </row>
    <row r="23" spans="1:6" ht="12.75">
      <c r="A23" s="267" t="s">
        <v>1216</v>
      </c>
      <c r="B23" s="266" t="s">
        <v>198</v>
      </c>
      <c r="C23" s="265" t="s">
        <v>1387</v>
      </c>
      <c r="D23" s="264"/>
      <c r="E23" s="263">
        <v>12100</v>
      </c>
      <c r="F23" s="263">
        <v>10638</v>
      </c>
    </row>
    <row r="24" spans="1:6" ht="25.5">
      <c r="A24" s="267" t="s">
        <v>1217</v>
      </c>
      <c r="B24" s="266" t="s">
        <v>418</v>
      </c>
      <c r="C24" s="265" t="s">
        <v>1388</v>
      </c>
      <c r="D24" s="264"/>
      <c r="E24" s="263">
        <v>190</v>
      </c>
      <c r="F24" s="263">
        <v>167</v>
      </c>
    </row>
    <row r="25" spans="1:25" s="269" customFormat="1" ht="63.75">
      <c r="A25" s="276" t="s">
        <v>930</v>
      </c>
      <c r="B25" s="275" t="s">
        <v>194</v>
      </c>
      <c r="C25" s="274" t="s">
        <v>1389</v>
      </c>
      <c r="D25" s="273" t="s">
        <v>1947</v>
      </c>
      <c r="E25" s="272">
        <v>2800</v>
      </c>
      <c r="F25" s="272">
        <v>2462</v>
      </c>
      <c r="G25" s="328" t="s">
        <v>2635</v>
      </c>
      <c r="H25" s="269" t="s">
        <v>413</v>
      </c>
      <c r="I25" s="269" t="s">
        <v>413</v>
      </c>
      <c r="J25" s="269" t="s">
        <v>413</v>
      </c>
      <c r="K25" s="269" t="s">
        <v>413</v>
      </c>
      <c r="L25" s="269" t="s">
        <v>413</v>
      </c>
      <c r="M25" s="269" t="s">
        <v>413</v>
      </c>
      <c r="N25" s="269" t="s">
        <v>413</v>
      </c>
      <c r="O25" s="269" t="s">
        <v>413</v>
      </c>
      <c r="P25" s="269" t="s">
        <v>413</v>
      </c>
      <c r="Q25" s="269" t="s">
        <v>413</v>
      </c>
      <c r="R25" s="269" t="s">
        <v>413</v>
      </c>
      <c r="S25" s="269" t="s">
        <v>413</v>
      </c>
      <c r="T25" s="270">
        <v>0.27533281127642917</v>
      </c>
      <c r="U25" s="269" t="s">
        <v>413</v>
      </c>
      <c r="V25" s="270">
        <v>0.000646319498825372</v>
      </c>
      <c r="W25" s="270" t="s">
        <v>413</v>
      </c>
      <c r="X25" s="270">
        <v>0.000516523101018011</v>
      </c>
      <c r="Y25" s="270"/>
    </row>
    <row r="26" spans="1:6" ht="12.75">
      <c r="A26" s="267" t="s">
        <v>1218</v>
      </c>
      <c r="B26" s="266" t="s">
        <v>198</v>
      </c>
      <c r="C26" s="265" t="s">
        <v>1390</v>
      </c>
      <c r="D26" s="264"/>
      <c r="E26" s="263">
        <v>2800</v>
      </c>
      <c r="F26" s="263">
        <v>2462</v>
      </c>
    </row>
    <row r="27" spans="1:6" ht="12.75">
      <c r="A27" s="267" t="s">
        <v>1219</v>
      </c>
      <c r="B27" s="266" t="s">
        <v>418</v>
      </c>
      <c r="C27" s="265" t="s">
        <v>1391</v>
      </c>
      <c r="D27" s="264"/>
      <c r="E27" s="263">
        <v>0</v>
      </c>
      <c r="F27" s="263">
        <v>0</v>
      </c>
    </row>
    <row r="28" spans="1:25" s="269" customFormat="1" ht="63.75">
      <c r="A28" s="276" t="s">
        <v>931</v>
      </c>
      <c r="B28" s="275" t="s">
        <v>418</v>
      </c>
      <c r="C28" s="274" t="s">
        <v>1392</v>
      </c>
      <c r="D28" s="273" t="s">
        <v>1948</v>
      </c>
      <c r="E28" s="272">
        <v>170</v>
      </c>
      <c r="F28" s="272">
        <v>149</v>
      </c>
      <c r="G28" s="328" t="s">
        <v>2635</v>
      </c>
      <c r="H28" s="269" t="s">
        <v>413</v>
      </c>
      <c r="I28" s="269" t="s">
        <v>413</v>
      </c>
      <c r="J28" s="269" t="s">
        <v>413</v>
      </c>
      <c r="K28" s="269" t="s">
        <v>413</v>
      </c>
      <c r="L28" s="269" t="s">
        <v>413</v>
      </c>
      <c r="M28" s="269" t="s">
        <v>413</v>
      </c>
      <c r="N28" s="269" t="s">
        <v>413</v>
      </c>
      <c r="O28" s="269" t="s">
        <v>413</v>
      </c>
      <c r="P28" s="269" t="s">
        <v>413</v>
      </c>
      <c r="Q28" s="269" t="s">
        <v>413</v>
      </c>
      <c r="R28" s="269" t="s">
        <v>413</v>
      </c>
      <c r="S28" s="269" t="s">
        <v>413</v>
      </c>
      <c r="T28" s="270">
        <v>0.02848701012769705</v>
      </c>
      <c r="U28" s="270" t="s">
        <v>413</v>
      </c>
      <c r="V28" s="270">
        <v>5.064729194187583E-05</v>
      </c>
      <c r="W28" s="270" t="s">
        <v>413</v>
      </c>
      <c r="X28" s="270">
        <v>6.047556142668427E-05</v>
      </c>
      <c r="Y28" s="270"/>
    </row>
    <row r="29" spans="1:6" ht="63.75">
      <c r="A29" s="267" t="s">
        <v>932</v>
      </c>
      <c r="B29" s="266" t="s">
        <v>418</v>
      </c>
      <c r="C29" s="265" t="s">
        <v>1393</v>
      </c>
      <c r="D29" s="264" t="s">
        <v>1949</v>
      </c>
      <c r="E29" s="263" t="s">
        <v>1689</v>
      </c>
      <c r="F29" s="263" t="s">
        <v>1689</v>
      </c>
    </row>
    <row r="30" spans="1:25" s="284" customFormat="1" ht="76.5">
      <c r="A30" s="289" t="s">
        <v>933</v>
      </c>
      <c r="B30" s="288" t="s">
        <v>418</v>
      </c>
      <c r="C30" s="287" t="s">
        <v>1394</v>
      </c>
      <c r="D30" s="286" t="s">
        <v>1950</v>
      </c>
      <c r="E30" s="285">
        <v>2730</v>
      </c>
      <c r="F30" s="285">
        <v>2649</v>
      </c>
      <c r="S30" s="330"/>
      <c r="U30" s="330"/>
      <c r="V30" s="330"/>
      <c r="W30" s="330"/>
      <c r="X30" s="330"/>
      <c r="Y30" s="330"/>
    </row>
    <row r="31" spans="1:26" s="269" customFormat="1" ht="25.5">
      <c r="A31" s="276" t="s">
        <v>934</v>
      </c>
      <c r="B31" s="275" t="s">
        <v>418</v>
      </c>
      <c r="C31" s="274" t="s">
        <v>1395</v>
      </c>
      <c r="D31" s="273" t="s">
        <v>1951</v>
      </c>
      <c r="E31" s="272">
        <v>2540</v>
      </c>
      <c r="F31" s="272">
        <v>2464</v>
      </c>
      <c r="G31" s="328" t="s">
        <v>2643</v>
      </c>
      <c r="H31" s="328" t="s">
        <v>413</v>
      </c>
      <c r="I31" s="328" t="s">
        <v>413</v>
      </c>
      <c r="J31" s="328" t="s">
        <v>413</v>
      </c>
      <c r="K31" s="328" t="s">
        <v>413</v>
      </c>
      <c r="L31" s="328" t="s">
        <v>413</v>
      </c>
      <c r="M31" s="328" t="s">
        <v>413</v>
      </c>
      <c r="N31" s="328" t="s">
        <v>413</v>
      </c>
      <c r="O31" s="328" t="s">
        <v>413</v>
      </c>
      <c r="P31" s="328" t="s">
        <v>413</v>
      </c>
      <c r="Q31" s="328" t="s">
        <v>413</v>
      </c>
      <c r="R31" s="328" t="s">
        <v>413</v>
      </c>
      <c r="S31" s="328" t="s">
        <v>413</v>
      </c>
      <c r="T31" s="328">
        <v>0.0176</v>
      </c>
      <c r="U31" s="328" t="s">
        <v>413</v>
      </c>
      <c r="V31" s="328">
        <v>0.0016</v>
      </c>
      <c r="W31" s="328" t="s">
        <v>413</v>
      </c>
      <c r="X31" s="328">
        <v>0.0201</v>
      </c>
      <c r="Y31" s="328" t="s">
        <v>413</v>
      </c>
      <c r="Z31" s="328" t="s">
        <v>413</v>
      </c>
    </row>
    <row r="32" spans="1:6" ht="51">
      <c r="A32" s="267" t="s">
        <v>935</v>
      </c>
      <c r="B32" s="266" t="s">
        <v>418</v>
      </c>
      <c r="C32" s="265" t="s">
        <v>1396</v>
      </c>
      <c r="D32" s="264" t="s">
        <v>1952</v>
      </c>
      <c r="E32" s="263" t="s">
        <v>1689</v>
      </c>
      <c r="F32" s="263" t="s">
        <v>1689</v>
      </c>
    </row>
    <row r="33" spans="1:6" ht="25.5">
      <c r="A33" s="267" t="s">
        <v>936</v>
      </c>
      <c r="B33" s="266" t="s">
        <v>418</v>
      </c>
      <c r="C33" s="265" t="s">
        <v>1397</v>
      </c>
      <c r="D33" s="264" t="s">
        <v>1953</v>
      </c>
      <c r="E33" s="263" t="s">
        <v>1689</v>
      </c>
      <c r="F33" s="263" t="s">
        <v>1689</v>
      </c>
    </row>
    <row r="34" spans="1:25" s="284" customFormat="1" ht="76.5">
      <c r="A34" s="289" t="s">
        <v>937</v>
      </c>
      <c r="B34" s="288" t="s">
        <v>418</v>
      </c>
      <c r="C34" s="287" t="s">
        <v>1398</v>
      </c>
      <c r="D34" s="286" t="s">
        <v>1954</v>
      </c>
      <c r="E34" s="285">
        <v>1380</v>
      </c>
      <c r="F34" s="285">
        <v>1339</v>
      </c>
      <c r="S34" s="330"/>
      <c r="T34" s="330"/>
      <c r="U34" s="330"/>
      <c r="V34" s="330"/>
      <c r="W34" s="330"/>
      <c r="X34" s="330"/>
      <c r="Y34" s="330"/>
    </row>
    <row r="35" spans="1:25" s="269" customFormat="1" ht="89.25">
      <c r="A35" s="276" t="s">
        <v>938</v>
      </c>
      <c r="B35" s="275" t="s">
        <v>418</v>
      </c>
      <c r="C35" s="274" t="s">
        <v>1399</v>
      </c>
      <c r="D35" s="273" t="s">
        <v>2644</v>
      </c>
      <c r="E35" s="272">
        <v>1100</v>
      </c>
      <c r="F35" s="272">
        <v>1067</v>
      </c>
      <c r="G35" s="328" t="s">
        <v>2643</v>
      </c>
      <c r="H35" s="328" t="s">
        <v>413</v>
      </c>
      <c r="I35" s="328" t="s">
        <v>413</v>
      </c>
      <c r="J35" s="269">
        <v>25</v>
      </c>
      <c r="K35" s="328" t="s">
        <v>413</v>
      </c>
      <c r="L35" s="328" t="s">
        <v>413</v>
      </c>
      <c r="M35" s="328" t="s">
        <v>413</v>
      </c>
      <c r="N35" s="328" t="s">
        <v>413</v>
      </c>
      <c r="O35" s="328" t="s">
        <v>413</v>
      </c>
      <c r="P35" s="328" t="s">
        <v>413</v>
      </c>
      <c r="Q35" s="328" t="s">
        <v>413</v>
      </c>
      <c r="R35" s="328" t="s">
        <v>413</v>
      </c>
      <c r="S35" s="277" t="s">
        <v>413</v>
      </c>
      <c r="T35" s="270">
        <v>0.0218</v>
      </c>
      <c r="U35" s="277" t="s">
        <v>413</v>
      </c>
      <c r="V35" s="270">
        <v>0.0023</v>
      </c>
      <c r="W35" s="277" t="s">
        <v>413</v>
      </c>
      <c r="X35" s="270">
        <v>0.0039</v>
      </c>
      <c r="Y35" s="270"/>
    </row>
    <row r="36" spans="1:6" ht="38.25">
      <c r="A36" s="267" t="s">
        <v>1220</v>
      </c>
      <c r="B36" s="266" t="s">
        <v>418</v>
      </c>
      <c r="C36" s="265" t="s">
        <v>1400</v>
      </c>
      <c r="D36" s="264"/>
      <c r="E36" s="263">
        <v>190</v>
      </c>
      <c r="F36" s="263">
        <v>184</v>
      </c>
    </row>
    <row r="37" spans="1:6" ht="12.75">
      <c r="A37" s="267" t="s">
        <v>1221</v>
      </c>
      <c r="B37" s="266" t="s">
        <v>418</v>
      </c>
      <c r="C37" s="265" t="s">
        <v>1401</v>
      </c>
      <c r="D37" s="264"/>
      <c r="E37" s="263" t="s">
        <v>1689</v>
      </c>
      <c r="F37" s="263" t="s">
        <v>1689</v>
      </c>
    </row>
    <row r="38" spans="1:6" ht="25.5">
      <c r="A38" s="267" t="s">
        <v>1222</v>
      </c>
      <c r="B38" s="266" t="s">
        <v>418</v>
      </c>
      <c r="C38" s="265" t="s">
        <v>1402</v>
      </c>
      <c r="D38" s="264"/>
      <c r="E38" s="263">
        <v>360</v>
      </c>
      <c r="F38" s="263">
        <v>349</v>
      </c>
    </row>
    <row r="39" spans="1:6" ht="12.75">
      <c r="A39" s="267" t="s">
        <v>1223</v>
      </c>
      <c r="B39" s="266" t="s">
        <v>418</v>
      </c>
      <c r="C39" s="265" t="s">
        <v>1403</v>
      </c>
      <c r="D39" s="264"/>
      <c r="E39" s="263">
        <v>0</v>
      </c>
      <c r="F39" s="263">
        <v>0</v>
      </c>
    </row>
    <row r="40" spans="1:6" ht="25.5">
      <c r="A40" s="267" t="s">
        <v>1224</v>
      </c>
      <c r="B40" s="266" t="s">
        <v>418</v>
      </c>
      <c r="C40" s="265" t="s">
        <v>1404</v>
      </c>
      <c r="D40" s="264"/>
      <c r="E40" s="263" t="s">
        <v>1689</v>
      </c>
      <c r="F40" s="263" t="s">
        <v>1689</v>
      </c>
    </row>
    <row r="41" spans="1:6" ht="12.75">
      <c r="A41" s="267" t="s">
        <v>1225</v>
      </c>
      <c r="B41" s="266" t="s">
        <v>418</v>
      </c>
      <c r="C41" s="265" t="s">
        <v>1405</v>
      </c>
      <c r="D41" s="264"/>
      <c r="E41" s="263" t="s">
        <v>1689</v>
      </c>
      <c r="F41" s="263" t="s">
        <v>1689</v>
      </c>
    </row>
    <row r="42" spans="1:6" ht="25.5">
      <c r="A42" s="267" t="s">
        <v>939</v>
      </c>
      <c r="B42" s="266" t="s">
        <v>418</v>
      </c>
      <c r="C42" s="265" t="s">
        <v>1406</v>
      </c>
      <c r="D42" s="264"/>
      <c r="E42" s="263" t="s">
        <v>1689</v>
      </c>
      <c r="F42" s="263" t="s">
        <v>1689</v>
      </c>
    </row>
    <row r="43" spans="1:6" ht="25.5">
      <c r="A43" s="267" t="s">
        <v>940</v>
      </c>
      <c r="B43" s="266" t="s">
        <v>418</v>
      </c>
      <c r="C43" s="265" t="s">
        <v>1407</v>
      </c>
      <c r="D43" s="264"/>
      <c r="E43" s="263" t="s">
        <v>1689</v>
      </c>
      <c r="F43" s="263" t="s">
        <v>1689</v>
      </c>
    </row>
    <row r="44" spans="1:6" ht="25.5">
      <c r="A44" s="267" t="s">
        <v>941</v>
      </c>
      <c r="B44" s="266" t="s">
        <v>418</v>
      </c>
      <c r="C44" s="265" t="s">
        <v>1408</v>
      </c>
      <c r="D44" s="264"/>
      <c r="E44" s="263" t="s">
        <v>1689</v>
      </c>
      <c r="F44" s="263" t="s">
        <v>1689</v>
      </c>
    </row>
    <row r="45" spans="1:6" ht="25.5">
      <c r="A45" s="267" t="s">
        <v>942</v>
      </c>
      <c r="B45" s="266" t="s">
        <v>418</v>
      </c>
      <c r="C45" s="265" t="s">
        <v>1409</v>
      </c>
      <c r="D45" s="264"/>
      <c r="E45" s="263">
        <v>0</v>
      </c>
      <c r="F45" s="263">
        <v>0</v>
      </c>
    </row>
    <row r="46" spans="1:6" ht="25.5">
      <c r="A46" s="267" t="s">
        <v>943</v>
      </c>
      <c r="B46" s="266" t="s">
        <v>418</v>
      </c>
      <c r="C46" s="265" t="s">
        <v>1410</v>
      </c>
      <c r="D46" s="264"/>
      <c r="E46" s="263">
        <v>0</v>
      </c>
      <c r="F46" s="263">
        <v>0</v>
      </c>
    </row>
    <row r="47" spans="1:25" s="297" customFormat="1" ht="25.5">
      <c r="A47" s="302" t="s">
        <v>944</v>
      </c>
      <c r="B47" s="301" t="s">
        <v>194</v>
      </c>
      <c r="C47" s="300" t="s">
        <v>1411</v>
      </c>
      <c r="D47" s="299" t="s">
        <v>1955</v>
      </c>
      <c r="E47" s="298">
        <v>4620</v>
      </c>
      <c r="F47" s="298">
        <v>4645</v>
      </c>
      <c r="S47" s="331"/>
      <c r="T47" s="331"/>
      <c r="U47" s="331"/>
      <c r="V47" s="331"/>
      <c r="W47" s="331"/>
      <c r="X47" s="331"/>
      <c r="Y47" s="331"/>
    </row>
    <row r="48" spans="1:25" s="284" customFormat="1" ht="38.25">
      <c r="A48" s="289" t="s">
        <v>945</v>
      </c>
      <c r="B48" s="288" t="s">
        <v>194</v>
      </c>
      <c r="C48" s="287" t="s">
        <v>282</v>
      </c>
      <c r="D48" s="286" t="s">
        <v>1956</v>
      </c>
      <c r="E48" s="285">
        <v>1530</v>
      </c>
      <c r="F48" s="285">
        <v>1538</v>
      </c>
      <c r="S48" s="330"/>
      <c r="T48" s="330"/>
      <c r="U48" s="330"/>
      <c r="V48" s="330"/>
      <c r="W48" s="330"/>
      <c r="X48" s="330"/>
      <c r="Y48" s="330"/>
    </row>
    <row r="49" spans="1:6" ht="51">
      <c r="A49" s="267" t="s">
        <v>946</v>
      </c>
      <c r="B49" s="266" t="s">
        <v>418</v>
      </c>
      <c r="C49" s="265" t="s">
        <v>283</v>
      </c>
      <c r="D49" s="264" t="s">
        <v>1957</v>
      </c>
      <c r="E49" s="263">
        <v>100</v>
      </c>
      <c r="F49" s="263">
        <v>101</v>
      </c>
    </row>
    <row r="50" spans="1:25" s="269" customFormat="1" ht="12.75">
      <c r="A50" s="276" t="s">
        <v>947</v>
      </c>
      <c r="B50" s="275" t="s">
        <v>418</v>
      </c>
      <c r="C50" s="274" t="s">
        <v>284</v>
      </c>
      <c r="D50" s="273" t="s">
        <v>2642</v>
      </c>
      <c r="E50" s="272">
        <v>730</v>
      </c>
      <c r="F50" s="272">
        <v>734</v>
      </c>
      <c r="G50" s="328" t="s">
        <v>2635</v>
      </c>
      <c r="H50" s="269" t="s">
        <v>413</v>
      </c>
      <c r="I50" s="269" t="s">
        <v>413</v>
      </c>
      <c r="J50" s="269" t="s">
        <v>413</v>
      </c>
      <c r="K50" s="269" t="s">
        <v>413</v>
      </c>
      <c r="L50" s="269" t="s">
        <v>413</v>
      </c>
      <c r="M50" s="269" t="s">
        <v>413</v>
      </c>
      <c r="N50" s="269" t="s">
        <v>413</v>
      </c>
      <c r="O50" s="269" t="s">
        <v>413</v>
      </c>
      <c r="P50" s="269" t="s">
        <v>413</v>
      </c>
      <c r="Q50" s="269" t="s">
        <v>413</v>
      </c>
      <c r="R50" s="269" t="s">
        <v>413</v>
      </c>
      <c r="S50" s="270" t="s">
        <v>413</v>
      </c>
      <c r="T50" s="270">
        <v>0.0005</v>
      </c>
      <c r="U50" s="270" t="s">
        <v>413</v>
      </c>
      <c r="V50" s="270" t="s">
        <v>413</v>
      </c>
      <c r="W50" s="270" t="s">
        <v>413</v>
      </c>
      <c r="X50" s="270" t="s">
        <v>413</v>
      </c>
      <c r="Y50" s="270"/>
    </row>
    <row r="51" spans="1:6" ht="25.5">
      <c r="A51" s="267" t="s">
        <v>948</v>
      </c>
      <c r="B51" s="266" t="s">
        <v>198</v>
      </c>
      <c r="C51" s="265" t="s">
        <v>285</v>
      </c>
      <c r="D51" s="264"/>
      <c r="E51" s="263">
        <v>710</v>
      </c>
      <c r="F51" s="263">
        <v>714</v>
      </c>
    </row>
    <row r="52" spans="1:25" s="284" customFormat="1" ht="38.25">
      <c r="A52" s="289" t="s">
        <v>949</v>
      </c>
      <c r="B52" s="288" t="s">
        <v>194</v>
      </c>
      <c r="C52" s="287" t="s">
        <v>286</v>
      </c>
      <c r="D52" s="286" t="s">
        <v>1958</v>
      </c>
      <c r="E52" s="285">
        <v>1940</v>
      </c>
      <c r="F52" s="285">
        <v>1950</v>
      </c>
      <c r="S52" s="330"/>
      <c r="U52" s="330"/>
      <c r="V52" s="330"/>
      <c r="W52" s="330"/>
      <c r="X52" s="330"/>
      <c r="Y52" s="330"/>
    </row>
    <row r="53" spans="1:6" ht="25.5">
      <c r="A53" s="267" t="s">
        <v>950</v>
      </c>
      <c r="B53" s="266" t="s">
        <v>198</v>
      </c>
      <c r="C53" s="265" t="s">
        <v>287</v>
      </c>
      <c r="D53" s="264"/>
      <c r="E53" s="263">
        <v>1070</v>
      </c>
      <c r="F53" s="263">
        <v>1076</v>
      </c>
    </row>
    <row r="54" spans="1:24" s="269" customFormat="1" ht="12.75">
      <c r="A54" s="276" t="s">
        <v>951</v>
      </c>
      <c r="B54" s="275" t="s">
        <v>418</v>
      </c>
      <c r="C54" s="274" t="s">
        <v>288</v>
      </c>
      <c r="D54" s="273" t="s">
        <v>2641</v>
      </c>
      <c r="E54" s="272">
        <v>460</v>
      </c>
      <c r="F54" s="272">
        <v>462</v>
      </c>
      <c r="G54" s="328" t="s">
        <v>2635</v>
      </c>
      <c r="H54" s="269" t="s">
        <v>413</v>
      </c>
      <c r="I54" s="269" t="s">
        <v>413</v>
      </c>
      <c r="J54" s="269" t="s">
        <v>413</v>
      </c>
      <c r="K54" s="269" t="s">
        <v>413</v>
      </c>
      <c r="L54" s="269" t="s">
        <v>413</v>
      </c>
      <c r="M54" s="269" t="s">
        <v>413</v>
      </c>
      <c r="N54" s="269" t="s">
        <v>413</v>
      </c>
      <c r="O54" s="269" t="s">
        <v>413</v>
      </c>
      <c r="P54" s="269" t="s">
        <v>413</v>
      </c>
      <c r="Q54" s="269" t="s">
        <v>413</v>
      </c>
      <c r="R54" s="269" t="s">
        <v>413</v>
      </c>
      <c r="S54" s="269" t="s">
        <v>413</v>
      </c>
      <c r="T54" s="270">
        <v>0.0796307240506329</v>
      </c>
      <c r="U54" s="270" t="s">
        <v>413</v>
      </c>
      <c r="V54" s="270">
        <v>0.00018692610379746836</v>
      </c>
      <c r="W54" s="270" t="s">
        <v>413</v>
      </c>
      <c r="X54" s="270">
        <v>0.0001493868759493671</v>
      </c>
    </row>
    <row r="55" spans="1:25" s="269" customFormat="1" ht="25.5">
      <c r="A55" s="276" t="s">
        <v>952</v>
      </c>
      <c r="B55" s="275" t="s">
        <v>418</v>
      </c>
      <c r="C55" s="274" t="s">
        <v>289</v>
      </c>
      <c r="D55" s="273" t="s">
        <v>2640</v>
      </c>
      <c r="E55" s="272">
        <v>410</v>
      </c>
      <c r="F55" s="272">
        <v>412</v>
      </c>
      <c r="G55" s="328" t="s">
        <v>2635</v>
      </c>
      <c r="H55" s="269" t="s">
        <v>413</v>
      </c>
      <c r="I55" s="269" t="s">
        <v>413</v>
      </c>
      <c r="J55" s="269" t="s">
        <v>413</v>
      </c>
      <c r="K55" s="269" t="s">
        <v>413</v>
      </c>
      <c r="L55" s="269" t="s">
        <v>413</v>
      </c>
      <c r="M55" s="269" t="s">
        <v>413</v>
      </c>
      <c r="N55" s="269" t="s">
        <v>413</v>
      </c>
      <c r="O55" s="269" t="s">
        <v>413</v>
      </c>
      <c r="P55" s="269" t="s">
        <v>413</v>
      </c>
      <c r="Q55" s="269" t="s">
        <v>413</v>
      </c>
      <c r="R55" s="269" t="s">
        <v>413</v>
      </c>
      <c r="S55" s="269" t="s">
        <v>413</v>
      </c>
      <c r="T55" s="270">
        <v>0.007017844623463894</v>
      </c>
      <c r="U55" s="270" t="s">
        <v>413</v>
      </c>
      <c r="V55" s="270">
        <v>1.3767212984642247E-05</v>
      </c>
      <c r="W55" s="270" t="s">
        <v>413</v>
      </c>
      <c r="X55" s="270">
        <v>1.292432239374578E-05</v>
      </c>
      <c r="Y55" s="270"/>
    </row>
    <row r="56" spans="1:6" ht="38.25">
      <c r="A56" s="267" t="s">
        <v>953</v>
      </c>
      <c r="B56" s="266" t="s">
        <v>418</v>
      </c>
      <c r="C56" s="265" t="s">
        <v>293</v>
      </c>
      <c r="D56" s="264"/>
      <c r="E56" s="263">
        <v>0</v>
      </c>
      <c r="F56" s="263">
        <v>0</v>
      </c>
    </row>
    <row r="57" spans="1:25" s="284" customFormat="1" ht="38.25">
      <c r="A57" s="289" t="s">
        <v>954</v>
      </c>
      <c r="B57" s="288" t="s">
        <v>194</v>
      </c>
      <c r="C57" s="287" t="s">
        <v>294</v>
      </c>
      <c r="D57" s="286" t="s">
        <v>1959</v>
      </c>
      <c r="E57" s="285" t="s">
        <v>1689</v>
      </c>
      <c r="F57" s="285" t="s">
        <v>1689</v>
      </c>
      <c r="S57" s="330"/>
      <c r="U57" s="330"/>
      <c r="V57" s="330"/>
      <c r="W57" s="330"/>
      <c r="X57" s="330"/>
      <c r="Y57" s="330"/>
    </row>
    <row r="58" spans="1:6" ht="25.5">
      <c r="A58" s="267" t="s">
        <v>955</v>
      </c>
      <c r="B58" s="266" t="s">
        <v>418</v>
      </c>
      <c r="C58" s="265" t="s">
        <v>295</v>
      </c>
      <c r="D58" s="264" t="s">
        <v>1960</v>
      </c>
      <c r="E58" s="263" t="s">
        <v>1689</v>
      </c>
      <c r="F58" s="263" t="s">
        <v>1689</v>
      </c>
    </row>
    <row r="59" spans="1:6" ht="25.5">
      <c r="A59" s="267" t="s">
        <v>956</v>
      </c>
      <c r="B59" s="266" t="s">
        <v>198</v>
      </c>
      <c r="C59" s="265" t="s">
        <v>296</v>
      </c>
      <c r="D59" s="264"/>
      <c r="E59" s="263">
        <v>0</v>
      </c>
      <c r="F59" s="263">
        <v>0</v>
      </c>
    </row>
    <row r="60" spans="1:25" s="284" customFormat="1" ht="63.75">
      <c r="A60" s="289" t="s">
        <v>957</v>
      </c>
      <c r="B60" s="288" t="s">
        <v>194</v>
      </c>
      <c r="C60" s="287" t="s">
        <v>297</v>
      </c>
      <c r="D60" s="286" t="s">
        <v>1961</v>
      </c>
      <c r="E60" s="285" t="s">
        <v>1689</v>
      </c>
      <c r="F60" s="285" t="s">
        <v>1689</v>
      </c>
      <c r="S60" s="330"/>
      <c r="T60" s="330"/>
      <c r="U60" s="330"/>
      <c r="V60" s="330"/>
      <c r="W60" s="330"/>
      <c r="X60" s="330"/>
      <c r="Y60" s="330"/>
    </row>
    <row r="61" spans="1:6" ht="25.5">
      <c r="A61" s="267" t="s">
        <v>958</v>
      </c>
      <c r="B61" s="266" t="s">
        <v>298</v>
      </c>
      <c r="C61" s="265" t="s">
        <v>299</v>
      </c>
      <c r="D61" s="264"/>
      <c r="E61" s="263" t="s">
        <v>1689</v>
      </c>
      <c r="F61" s="263" t="s">
        <v>1689</v>
      </c>
    </row>
    <row r="62" spans="1:6" ht="25.5">
      <c r="A62" s="267" t="s">
        <v>959</v>
      </c>
      <c r="B62" s="266" t="s">
        <v>198</v>
      </c>
      <c r="C62" s="265" t="s">
        <v>300</v>
      </c>
      <c r="D62" s="305"/>
      <c r="E62" s="263">
        <v>0</v>
      </c>
      <c r="F62" s="263">
        <v>0</v>
      </c>
    </row>
    <row r="63" spans="1:25" s="284" customFormat="1" ht="38.25">
      <c r="A63" s="289" t="s">
        <v>960</v>
      </c>
      <c r="B63" s="288" t="s">
        <v>194</v>
      </c>
      <c r="C63" s="287" t="s">
        <v>301</v>
      </c>
      <c r="D63" s="286" t="s">
        <v>1962</v>
      </c>
      <c r="E63" s="285">
        <v>450</v>
      </c>
      <c r="F63" s="285">
        <v>452</v>
      </c>
      <c r="S63" s="330"/>
      <c r="T63" s="330"/>
      <c r="U63" s="330"/>
      <c r="V63" s="330"/>
      <c r="W63" s="330"/>
      <c r="X63" s="330"/>
      <c r="Y63" s="330"/>
    </row>
    <row r="64" spans="1:25" s="269" customFormat="1" ht="25.5">
      <c r="A64" s="276" t="s">
        <v>961</v>
      </c>
      <c r="B64" s="275" t="s">
        <v>418</v>
      </c>
      <c r="C64" s="274" t="s">
        <v>302</v>
      </c>
      <c r="D64" s="329" t="s">
        <v>2639</v>
      </c>
      <c r="E64" s="272">
        <v>260</v>
      </c>
      <c r="F64" s="272">
        <v>261</v>
      </c>
      <c r="G64" s="328" t="s">
        <v>2635</v>
      </c>
      <c r="H64" s="328" t="s">
        <v>413</v>
      </c>
      <c r="I64" s="328" t="s">
        <v>413</v>
      </c>
      <c r="J64" s="328" t="s">
        <v>413</v>
      </c>
      <c r="K64" s="328" t="s">
        <v>413</v>
      </c>
      <c r="L64" s="328" t="s">
        <v>413</v>
      </c>
      <c r="M64" s="328" t="s">
        <v>413</v>
      </c>
      <c r="N64" s="328" t="s">
        <v>413</v>
      </c>
      <c r="O64" s="328" t="s">
        <v>413</v>
      </c>
      <c r="P64" s="328" t="s">
        <v>413</v>
      </c>
      <c r="Q64" s="328" t="s">
        <v>413</v>
      </c>
      <c r="R64" s="328" t="s">
        <v>413</v>
      </c>
      <c r="S64" s="328" t="s">
        <v>413</v>
      </c>
      <c r="T64" s="270">
        <v>0.0093</v>
      </c>
      <c r="U64" s="277" t="s">
        <v>413</v>
      </c>
      <c r="V64" s="277" t="s">
        <v>413</v>
      </c>
      <c r="W64" s="277" t="s">
        <v>413</v>
      </c>
      <c r="X64" s="277" t="s">
        <v>413</v>
      </c>
      <c r="Y64" s="270"/>
    </row>
    <row r="65" spans="1:11" ht="25.5">
      <c r="A65" s="267" t="s">
        <v>962</v>
      </c>
      <c r="B65" s="266" t="s">
        <v>198</v>
      </c>
      <c r="C65" s="265" t="s">
        <v>303</v>
      </c>
      <c r="D65" s="305"/>
      <c r="E65" s="263">
        <v>190</v>
      </c>
      <c r="F65" s="263">
        <v>191</v>
      </c>
      <c r="K65" s="308"/>
    </row>
    <row r="66" spans="1:6" ht="76.5">
      <c r="A66" s="267" t="s">
        <v>963</v>
      </c>
      <c r="B66" s="266" t="s">
        <v>418</v>
      </c>
      <c r="C66" s="265" t="s">
        <v>304</v>
      </c>
      <c r="D66" s="264" t="s">
        <v>1963</v>
      </c>
      <c r="E66" s="263" t="s">
        <v>1689</v>
      </c>
      <c r="F66" s="263" t="s">
        <v>1689</v>
      </c>
    </row>
    <row r="67" spans="1:6" ht="12.75">
      <c r="A67" s="267" t="s">
        <v>964</v>
      </c>
      <c r="B67" s="266" t="s">
        <v>418</v>
      </c>
      <c r="C67" s="265" t="s">
        <v>305</v>
      </c>
      <c r="D67" s="327"/>
      <c r="E67" s="263" t="s">
        <v>1689</v>
      </c>
      <c r="F67" s="263" t="s">
        <v>1689</v>
      </c>
    </row>
    <row r="68" spans="1:6" ht="12.75">
      <c r="A68" s="267" t="s">
        <v>965</v>
      </c>
      <c r="B68" s="266" t="s">
        <v>418</v>
      </c>
      <c r="C68" s="265" t="s">
        <v>306</v>
      </c>
      <c r="D68" s="327"/>
      <c r="E68" s="263" t="s">
        <v>1689</v>
      </c>
      <c r="F68" s="263" t="s">
        <v>1689</v>
      </c>
    </row>
    <row r="70" s="324" customFormat="1" ht="12.75">
      <c r="A70" s="326" t="s">
        <v>2638</v>
      </c>
    </row>
    <row r="71" spans="1:24" s="324" customFormat="1" ht="12.75">
      <c r="A71" s="324" t="s">
        <v>2637</v>
      </c>
      <c r="G71" s="325" t="s">
        <v>2635</v>
      </c>
      <c r="H71" s="324" t="s">
        <v>413</v>
      </c>
      <c r="I71" s="324" t="s">
        <v>413</v>
      </c>
      <c r="J71" s="324" t="s">
        <v>413</v>
      </c>
      <c r="K71" s="324" t="s">
        <v>413</v>
      </c>
      <c r="L71" s="324" t="s">
        <v>413</v>
      </c>
      <c r="M71" s="324" t="s">
        <v>413</v>
      </c>
      <c r="N71" s="324" t="s">
        <v>413</v>
      </c>
      <c r="O71" s="324" t="s">
        <v>413</v>
      </c>
      <c r="P71" s="324" t="s">
        <v>413</v>
      </c>
      <c r="Q71" s="324" t="s">
        <v>413</v>
      </c>
      <c r="R71" s="324" t="s">
        <v>413</v>
      </c>
      <c r="S71" s="324" t="s">
        <v>413</v>
      </c>
      <c r="T71" s="324">
        <v>0.14501731996353692</v>
      </c>
      <c r="U71" s="324" t="s">
        <v>413</v>
      </c>
      <c r="V71" s="324">
        <v>0.07536918869644485</v>
      </c>
      <c r="W71" s="324" t="s">
        <v>413</v>
      </c>
      <c r="X71" s="324">
        <v>0.000601531449407475</v>
      </c>
    </row>
    <row r="72" spans="1:24" s="324" customFormat="1" ht="12.75">
      <c r="A72" s="324" t="s">
        <v>2636</v>
      </c>
      <c r="G72" s="325" t="s">
        <v>2635</v>
      </c>
      <c r="H72" s="324" t="s">
        <v>413</v>
      </c>
      <c r="I72" s="324" t="s">
        <v>413</v>
      </c>
      <c r="J72" s="324" t="s">
        <v>413</v>
      </c>
      <c r="K72" s="324" t="s">
        <v>413</v>
      </c>
      <c r="L72" s="324" t="s">
        <v>413</v>
      </c>
      <c r="M72" s="324" t="s">
        <v>413</v>
      </c>
      <c r="N72" s="324" t="s">
        <v>413</v>
      </c>
      <c r="O72" s="324" t="s">
        <v>413</v>
      </c>
      <c r="P72" s="324" t="s">
        <v>413</v>
      </c>
      <c r="Q72" s="324" t="s">
        <v>413</v>
      </c>
      <c r="R72" s="324" t="s">
        <v>413</v>
      </c>
      <c r="S72" s="324" t="s">
        <v>413</v>
      </c>
      <c r="T72" s="324">
        <v>0.11902897415818325</v>
      </c>
      <c r="U72" s="324" t="s">
        <v>413</v>
      </c>
      <c r="V72" s="324">
        <v>0.321607419733751</v>
      </c>
      <c r="W72" s="324" t="s">
        <v>413</v>
      </c>
      <c r="X72" s="324">
        <v>0.0007340093970242757</v>
      </c>
    </row>
  </sheetData>
  <sheetProtection/>
  <mergeCells count="3">
    <mergeCell ref="A1:D1"/>
    <mergeCell ref="J1:L1"/>
    <mergeCell ref="N1:P1"/>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AA26"/>
  <sheetViews>
    <sheetView zoomScalePageLayoutView="0" workbookViewId="0" topLeftCell="A1">
      <pane ySplit="1" topLeftCell="A5" activePane="bottomLeft" state="frozen"/>
      <selection pane="topLeft" activeCell="A1" sqref="A1"/>
      <selection pane="bottomLeft" activeCell="V35" sqref="V35"/>
    </sheetView>
  </sheetViews>
  <sheetFormatPr defaultColWidth="8.8515625" defaultRowHeight="12.75"/>
  <cols>
    <col min="1" max="2" width="8.8515625" style="84" customWidth="1"/>
    <col min="3" max="3" width="38.421875" style="84" customWidth="1"/>
    <col min="4" max="4" width="17.421875" style="84" customWidth="1"/>
    <col min="5" max="6" width="10.421875" style="84" bestFit="1" customWidth="1"/>
    <col min="7" max="7" width="35.421875" style="84" customWidth="1"/>
    <col min="8" max="8" width="26.421875" style="84" customWidth="1"/>
    <col min="9" max="16" width="8.8515625" style="84" customWidth="1"/>
    <col min="17" max="17" width="14.28125" style="84" customWidth="1"/>
    <col min="18" max="18" width="16.421875" style="84" customWidth="1"/>
    <col min="19" max="19" width="18.421875" style="84" customWidth="1"/>
    <col min="20" max="20" width="12.57421875" style="84" customWidth="1"/>
    <col min="21" max="21" width="13.140625" style="84" customWidth="1"/>
    <col min="22" max="22" width="21.421875" style="84" customWidth="1"/>
    <col min="23" max="27" width="8.8515625" style="84" customWidth="1"/>
  </cols>
  <sheetData>
    <row r="1" spans="1:22" ht="25.5" customHeight="1">
      <c r="A1" s="647" t="s">
        <v>2625</v>
      </c>
      <c r="B1" s="647"/>
      <c r="C1" s="647"/>
      <c r="D1" s="647"/>
      <c r="E1" s="79" t="s">
        <v>2626</v>
      </c>
      <c r="F1" s="79" t="s">
        <v>2627</v>
      </c>
      <c r="G1" s="80" t="s">
        <v>1712</v>
      </c>
      <c r="H1" s="80" t="s">
        <v>1711</v>
      </c>
      <c r="I1" s="81" t="s">
        <v>1708</v>
      </c>
      <c r="J1" s="643" t="s">
        <v>1709</v>
      </c>
      <c r="K1" s="644"/>
      <c r="L1" s="644"/>
      <c r="M1" s="80" t="s">
        <v>1710</v>
      </c>
      <c r="N1" s="643" t="s">
        <v>1713</v>
      </c>
      <c r="O1" s="644"/>
      <c r="P1" s="644"/>
      <c r="Q1" s="82" t="s">
        <v>2527</v>
      </c>
      <c r="R1" s="82" t="s">
        <v>2528</v>
      </c>
      <c r="S1" s="82" t="s">
        <v>2529</v>
      </c>
      <c r="T1" s="82" t="s">
        <v>2530</v>
      </c>
      <c r="U1" s="82" t="s">
        <v>2532</v>
      </c>
      <c r="V1" s="83" t="s">
        <v>2531</v>
      </c>
    </row>
    <row r="2" spans="1:27" s="155" customFormat="1" ht="66.75" customHeight="1">
      <c r="A2" s="85" t="s">
        <v>781</v>
      </c>
      <c r="B2" s="156" t="s">
        <v>194</v>
      </c>
      <c r="C2" s="87" t="s">
        <v>195</v>
      </c>
      <c r="D2" s="88" t="s">
        <v>2073</v>
      </c>
      <c r="E2" s="89">
        <v>55820</v>
      </c>
      <c r="F2" s="89">
        <v>53961</v>
      </c>
      <c r="G2" s="157"/>
      <c r="H2" s="157"/>
      <c r="I2" s="157"/>
      <c r="J2" s="157"/>
      <c r="K2" s="157"/>
      <c r="L2" s="157"/>
      <c r="M2" s="157"/>
      <c r="N2" s="157"/>
      <c r="O2" s="157"/>
      <c r="P2" s="157"/>
      <c r="Q2" s="157"/>
      <c r="R2" s="157"/>
      <c r="S2" s="157"/>
      <c r="T2" s="157"/>
      <c r="U2" s="157"/>
      <c r="V2" s="157"/>
      <c r="W2" s="157"/>
      <c r="X2" s="157"/>
      <c r="Y2" s="157"/>
      <c r="Z2" s="157"/>
      <c r="AA2" s="157"/>
    </row>
    <row r="3" spans="1:27" s="28" customFormat="1" ht="30">
      <c r="A3" s="105" t="s">
        <v>782</v>
      </c>
      <c r="B3" s="106" t="s">
        <v>196</v>
      </c>
      <c r="C3" s="107" t="s">
        <v>197</v>
      </c>
      <c r="D3" s="108" t="s">
        <v>1898</v>
      </c>
      <c r="E3" s="109">
        <v>33740</v>
      </c>
      <c r="F3" s="109">
        <v>35925</v>
      </c>
      <c r="G3" s="188"/>
      <c r="H3" s="188"/>
      <c r="I3" s="188"/>
      <c r="J3" s="188"/>
      <c r="K3" s="188"/>
      <c r="L3" s="188"/>
      <c r="M3" s="188"/>
      <c r="N3" s="188"/>
      <c r="O3" s="188"/>
      <c r="P3" s="188"/>
      <c r="Q3" s="188"/>
      <c r="R3" s="188"/>
      <c r="S3" s="188"/>
      <c r="T3" s="188"/>
      <c r="U3" s="188"/>
      <c r="V3" s="188"/>
      <c r="W3" s="188"/>
      <c r="X3" s="188"/>
      <c r="Y3" s="188"/>
      <c r="Z3" s="188"/>
      <c r="AA3" s="188"/>
    </row>
    <row r="4" spans="1:27" s="62" customFormat="1" ht="28.5">
      <c r="A4" s="189" t="s">
        <v>783</v>
      </c>
      <c r="B4" s="123" t="s">
        <v>198</v>
      </c>
      <c r="C4" s="190" t="s">
        <v>199</v>
      </c>
      <c r="D4" s="191" t="s">
        <v>1899</v>
      </c>
      <c r="E4" s="192">
        <v>33690</v>
      </c>
      <c r="F4" s="192">
        <v>35872</v>
      </c>
      <c r="G4" s="143" t="s">
        <v>2617</v>
      </c>
      <c r="H4" s="143"/>
      <c r="I4" s="143"/>
      <c r="J4" s="143"/>
      <c r="K4" s="143"/>
      <c r="L4" s="143"/>
      <c r="M4" s="143"/>
      <c r="N4" s="143"/>
      <c r="O4" s="143"/>
      <c r="P4" s="143"/>
      <c r="Q4" s="143" t="s">
        <v>413</v>
      </c>
      <c r="R4" s="143">
        <v>0.016197590151890626</v>
      </c>
      <c r="S4" s="143" t="s">
        <v>413</v>
      </c>
      <c r="T4" s="143">
        <v>0.00019792458621566015</v>
      </c>
      <c r="U4" s="143" t="s">
        <v>413</v>
      </c>
      <c r="V4" s="143">
        <v>0.02138704148749489</v>
      </c>
      <c r="W4" s="143"/>
      <c r="X4" s="143"/>
      <c r="Y4" s="143"/>
      <c r="Z4" s="143"/>
      <c r="AA4" s="143"/>
    </row>
    <row r="5" spans="1:6" ht="28.5">
      <c r="A5" s="95" t="s">
        <v>784</v>
      </c>
      <c r="B5" s="96" t="s">
        <v>198</v>
      </c>
      <c r="C5" s="124" t="s">
        <v>200</v>
      </c>
      <c r="D5" s="98"/>
      <c r="E5" s="99">
        <v>33690</v>
      </c>
      <c r="F5" s="99">
        <v>35872</v>
      </c>
    </row>
    <row r="6" spans="1:6" ht="30">
      <c r="A6" s="95" t="s">
        <v>785</v>
      </c>
      <c r="B6" s="96" t="s">
        <v>198</v>
      </c>
      <c r="C6" s="124" t="s">
        <v>201</v>
      </c>
      <c r="D6" s="98"/>
      <c r="E6" s="99">
        <v>32920</v>
      </c>
      <c r="F6" s="99">
        <v>35052</v>
      </c>
    </row>
    <row r="7" spans="1:6" ht="30">
      <c r="A7" s="95" t="s">
        <v>786</v>
      </c>
      <c r="B7" s="96" t="s">
        <v>198</v>
      </c>
      <c r="C7" s="124" t="s">
        <v>202</v>
      </c>
      <c r="D7" s="98"/>
      <c r="E7" s="99">
        <v>770</v>
      </c>
      <c r="F7" s="99">
        <v>820</v>
      </c>
    </row>
    <row r="8" spans="1:27" s="14" customFormat="1" ht="29.25">
      <c r="A8" s="95" t="s">
        <v>787</v>
      </c>
      <c r="B8" s="169" t="s">
        <v>198</v>
      </c>
      <c r="C8" s="97" t="s">
        <v>203</v>
      </c>
      <c r="D8" s="170"/>
      <c r="E8" s="171" t="s">
        <v>1689</v>
      </c>
      <c r="F8" s="171" t="s">
        <v>1689</v>
      </c>
      <c r="G8" s="144"/>
      <c r="H8" s="144"/>
      <c r="I8" s="144"/>
      <c r="J8" s="144"/>
      <c r="K8" s="144"/>
      <c r="L8" s="144"/>
      <c r="M8" s="144"/>
      <c r="N8" s="144"/>
      <c r="O8" s="144"/>
      <c r="P8" s="144"/>
      <c r="Q8" s="144"/>
      <c r="R8" s="144"/>
      <c r="S8" s="144"/>
      <c r="T8" s="144"/>
      <c r="U8" s="144"/>
      <c r="V8" s="144"/>
      <c r="W8" s="144"/>
      <c r="X8" s="144"/>
      <c r="Y8" s="144"/>
      <c r="Z8" s="144"/>
      <c r="AA8" s="144"/>
    </row>
    <row r="9" spans="1:6" ht="29.25">
      <c r="A9" s="95" t="s">
        <v>788</v>
      </c>
      <c r="B9" s="96" t="s">
        <v>198</v>
      </c>
      <c r="C9" s="124" t="s">
        <v>203</v>
      </c>
      <c r="D9" s="98"/>
      <c r="E9" s="99" t="s">
        <v>1689</v>
      </c>
      <c r="F9" s="99" t="s">
        <v>1689</v>
      </c>
    </row>
    <row r="10" spans="1:6" ht="30">
      <c r="A10" s="95" t="s">
        <v>789</v>
      </c>
      <c r="B10" s="96" t="s">
        <v>204</v>
      </c>
      <c r="C10" s="124" t="s">
        <v>205</v>
      </c>
      <c r="D10" s="98"/>
      <c r="E10" s="99" t="s">
        <v>1689</v>
      </c>
      <c r="F10" s="99" t="s">
        <v>1689</v>
      </c>
    </row>
    <row r="11" spans="1:27" s="59" customFormat="1" ht="45">
      <c r="A11" s="115" t="s">
        <v>790</v>
      </c>
      <c r="B11" s="136" t="s">
        <v>198</v>
      </c>
      <c r="C11" s="199" t="s">
        <v>206</v>
      </c>
      <c r="D11" s="200" t="s">
        <v>1900</v>
      </c>
      <c r="E11" s="137">
        <v>5960</v>
      </c>
      <c r="F11" s="137">
        <v>4905</v>
      </c>
      <c r="G11" s="141" t="s">
        <v>2628</v>
      </c>
      <c r="H11" s="201" t="s">
        <v>413</v>
      </c>
      <c r="I11" s="201" t="s">
        <v>413</v>
      </c>
      <c r="J11" s="201" t="s">
        <v>413</v>
      </c>
      <c r="K11" s="201" t="s">
        <v>413</v>
      </c>
      <c r="L11" s="201" t="s">
        <v>413</v>
      </c>
      <c r="M11" s="201" t="s">
        <v>413</v>
      </c>
      <c r="N11" s="201" t="s">
        <v>413</v>
      </c>
      <c r="O11" s="201" t="s">
        <v>413</v>
      </c>
      <c r="P11" s="201" t="s">
        <v>413</v>
      </c>
      <c r="Q11" s="201" t="s">
        <v>413</v>
      </c>
      <c r="R11" s="201">
        <v>0.0122</v>
      </c>
      <c r="S11" s="201" t="s">
        <v>413</v>
      </c>
      <c r="T11" s="201">
        <v>0.00149</v>
      </c>
      <c r="U11" s="201" t="s">
        <v>413</v>
      </c>
      <c r="V11" s="201">
        <v>0.00276</v>
      </c>
      <c r="W11" s="201"/>
      <c r="X11" s="201"/>
      <c r="Y11" s="201"/>
      <c r="Z11" s="201"/>
      <c r="AA11" s="201"/>
    </row>
    <row r="12" spans="1:6" ht="29.25">
      <c r="A12" s="95" t="s">
        <v>791</v>
      </c>
      <c r="B12" s="193" t="s">
        <v>194</v>
      </c>
      <c r="C12" s="124" t="s">
        <v>207</v>
      </c>
      <c r="D12" s="98"/>
      <c r="E12" s="99" t="s">
        <v>1689</v>
      </c>
      <c r="F12" s="99" t="s">
        <v>1689</v>
      </c>
    </row>
    <row r="13" spans="1:6" ht="29.25">
      <c r="A13" s="95" t="s">
        <v>792</v>
      </c>
      <c r="B13" s="193" t="s">
        <v>194</v>
      </c>
      <c r="C13" s="124" t="s">
        <v>208</v>
      </c>
      <c r="D13" s="98"/>
      <c r="E13" s="99" t="s">
        <v>1689</v>
      </c>
      <c r="F13" s="99" t="s">
        <v>1689</v>
      </c>
    </row>
    <row r="14" spans="1:27" s="13" customFormat="1" ht="72">
      <c r="A14" s="115" t="s">
        <v>793</v>
      </c>
      <c r="B14" s="194" t="s">
        <v>194</v>
      </c>
      <c r="C14" s="117" t="s">
        <v>209</v>
      </c>
      <c r="D14" s="118" t="s">
        <v>1901</v>
      </c>
      <c r="E14" s="119">
        <v>4380</v>
      </c>
      <c r="F14" s="119">
        <v>4755</v>
      </c>
      <c r="G14" s="141" t="s">
        <v>2628</v>
      </c>
      <c r="H14" s="141" t="s">
        <v>413</v>
      </c>
      <c r="I14" s="141">
        <v>25</v>
      </c>
      <c r="J14" s="141" t="s">
        <v>413</v>
      </c>
      <c r="K14" s="141"/>
      <c r="L14" s="141"/>
      <c r="M14" s="141" t="s">
        <v>413</v>
      </c>
      <c r="N14" s="141" t="s">
        <v>413</v>
      </c>
      <c r="O14" s="141"/>
      <c r="P14" s="141"/>
      <c r="Q14" s="141" t="s">
        <v>413</v>
      </c>
      <c r="R14" s="141">
        <v>0.0381</v>
      </c>
      <c r="S14" s="141" t="s">
        <v>413</v>
      </c>
      <c r="T14" s="141">
        <v>0.00212</v>
      </c>
      <c r="U14" s="141" t="s">
        <v>413</v>
      </c>
      <c r="V14" s="141">
        <v>0.00278</v>
      </c>
      <c r="W14" s="141"/>
      <c r="X14" s="141"/>
      <c r="Y14" s="141"/>
      <c r="Z14" s="141"/>
      <c r="AA14" s="141"/>
    </row>
    <row r="15" spans="1:6" ht="15">
      <c r="A15" s="95" t="s">
        <v>794</v>
      </c>
      <c r="B15" s="195" t="s">
        <v>198</v>
      </c>
      <c r="C15" s="124" t="s">
        <v>210</v>
      </c>
      <c r="D15" s="98"/>
      <c r="E15" s="99">
        <v>0</v>
      </c>
      <c r="F15" s="99">
        <v>0</v>
      </c>
    </row>
    <row r="16" spans="1:6" ht="15">
      <c r="A16" s="95" t="s">
        <v>795</v>
      </c>
      <c r="B16" s="195" t="s">
        <v>198</v>
      </c>
      <c r="C16" s="124" t="s">
        <v>211</v>
      </c>
      <c r="D16" s="98"/>
      <c r="E16" s="99">
        <v>760</v>
      </c>
      <c r="F16" s="99">
        <v>825</v>
      </c>
    </row>
    <row r="17" spans="1:8" ht="15">
      <c r="A17" s="95" t="s">
        <v>796</v>
      </c>
      <c r="B17" s="195" t="s">
        <v>198</v>
      </c>
      <c r="C17" s="124" t="s">
        <v>212</v>
      </c>
      <c r="D17" s="98"/>
      <c r="E17" s="99">
        <v>1410</v>
      </c>
      <c r="F17" s="99">
        <v>1531</v>
      </c>
      <c r="H17" s="196"/>
    </row>
    <row r="18" spans="1:6" ht="29.25">
      <c r="A18" s="95" t="s">
        <v>797</v>
      </c>
      <c r="B18" s="195" t="s">
        <v>194</v>
      </c>
      <c r="C18" s="124" t="s">
        <v>213</v>
      </c>
      <c r="D18" s="98"/>
      <c r="E18" s="99">
        <v>1580</v>
      </c>
      <c r="F18" s="99">
        <v>1715</v>
      </c>
    </row>
    <row r="19" spans="1:27" s="28" customFormat="1" ht="30">
      <c r="A19" s="105" t="s">
        <v>798</v>
      </c>
      <c r="B19" s="197" t="s">
        <v>198</v>
      </c>
      <c r="C19" s="107" t="s">
        <v>214</v>
      </c>
      <c r="D19" s="108" t="s">
        <v>1902</v>
      </c>
      <c r="E19" s="109">
        <v>11840</v>
      </c>
      <c r="F19" s="109">
        <v>11318</v>
      </c>
      <c r="G19" s="188"/>
      <c r="H19" s="188"/>
      <c r="I19" s="188"/>
      <c r="J19" s="188"/>
      <c r="K19" s="188"/>
      <c r="L19" s="188"/>
      <c r="M19" s="188"/>
      <c r="N19" s="188"/>
      <c r="O19" s="188"/>
      <c r="P19" s="188"/>
      <c r="Q19" s="188"/>
      <c r="R19" s="188"/>
      <c r="S19" s="188"/>
      <c r="T19" s="188"/>
      <c r="U19" s="188"/>
      <c r="V19" s="188"/>
      <c r="W19" s="188"/>
      <c r="X19" s="188"/>
      <c r="Y19" s="188"/>
      <c r="Z19" s="188"/>
      <c r="AA19" s="188"/>
    </row>
    <row r="20" spans="1:27" s="62" customFormat="1" ht="15">
      <c r="A20" s="189" t="s">
        <v>799</v>
      </c>
      <c r="B20" s="149" t="s">
        <v>198</v>
      </c>
      <c r="C20" s="190" t="s">
        <v>215</v>
      </c>
      <c r="D20" s="191" t="s">
        <v>1903</v>
      </c>
      <c r="E20" s="198">
        <v>9650</v>
      </c>
      <c r="F20" s="198">
        <v>9182</v>
      </c>
      <c r="G20" s="143" t="s">
        <v>2617</v>
      </c>
      <c r="H20" s="143"/>
      <c r="I20" s="143"/>
      <c r="J20" s="143"/>
      <c r="K20" s="143"/>
      <c r="L20" s="143"/>
      <c r="M20" s="143"/>
      <c r="N20" s="143"/>
      <c r="O20" s="143"/>
      <c r="P20" s="143"/>
      <c r="Q20" s="143" t="s">
        <v>413</v>
      </c>
      <c r="R20" s="143">
        <v>0.051097250949643305</v>
      </c>
      <c r="S20" s="143" t="s">
        <v>413</v>
      </c>
      <c r="T20" s="143">
        <v>0.00017914081728147432</v>
      </c>
      <c r="U20" s="143" t="s">
        <v>413</v>
      </c>
      <c r="V20" s="143">
        <v>0.26436288745335595</v>
      </c>
      <c r="W20" s="143"/>
      <c r="X20" s="143"/>
      <c r="Y20" s="143"/>
      <c r="Z20" s="143"/>
      <c r="AA20" s="143"/>
    </row>
    <row r="21" spans="1:6" ht="15">
      <c r="A21" s="95" t="s">
        <v>800</v>
      </c>
      <c r="B21" s="195" t="s">
        <v>198</v>
      </c>
      <c r="C21" s="124" t="s">
        <v>216</v>
      </c>
      <c r="D21" s="98"/>
      <c r="E21" s="99">
        <v>0</v>
      </c>
      <c r="F21" s="99">
        <v>0</v>
      </c>
    </row>
    <row r="22" spans="1:6" ht="15">
      <c r="A22" s="95" t="s">
        <v>801</v>
      </c>
      <c r="B22" s="195" t="s">
        <v>198</v>
      </c>
      <c r="C22" s="124" t="s">
        <v>217</v>
      </c>
      <c r="D22" s="98"/>
      <c r="E22" s="99">
        <v>0</v>
      </c>
      <c r="F22" s="99">
        <v>0</v>
      </c>
    </row>
    <row r="23" spans="1:8" ht="15">
      <c r="A23" s="95" t="s">
        <v>802</v>
      </c>
      <c r="B23" s="195" t="s">
        <v>198</v>
      </c>
      <c r="C23" s="124" t="s">
        <v>218</v>
      </c>
      <c r="D23" s="98"/>
      <c r="E23" s="99">
        <v>0</v>
      </c>
      <c r="F23" s="99">
        <v>0</v>
      </c>
      <c r="H23" s="196"/>
    </row>
    <row r="24" spans="1:6" ht="15">
      <c r="A24" s="95" t="s">
        <v>803</v>
      </c>
      <c r="B24" s="195" t="s">
        <v>198</v>
      </c>
      <c r="C24" s="124" t="s">
        <v>219</v>
      </c>
      <c r="D24" s="98"/>
      <c r="E24" s="99" t="s">
        <v>1689</v>
      </c>
      <c r="F24" s="99" t="s">
        <v>1689</v>
      </c>
    </row>
    <row r="25" spans="1:27" s="13" customFormat="1" ht="15">
      <c r="A25" s="115" t="s">
        <v>804</v>
      </c>
      <c r="B25" s="194" t="s">
        <v>198</v>
      </c>
      <c r="C25" s="117" t="s">
        <v>220</v>
      </c>
      <c r="D25" s="118" t="s">
        <v>1904</v>
      </c>
      <c r="E25" s="119">
        <v>280</v>
      </c>
      <c r="F25" s="119">
        <v>268</v>
      </c>
      <c r="G25" s="143" t="s">
        <v>2618</v>
      </c>
      <c r="H25" s="141"/>
      <c r="I25" s="141"/>
      <c r="J25" s="141"/>
      <c r="K25" s="141"/>
      <c r="L25" s="141"/>
      <c r="M25" s="141"/>
      <c r="N25" s="141"/>
      <c r="O25" s="141"/>
      <c r="P25" s="141"/>
      <c r="Q25" s="141"/>
      <c r="R25" s="141">
        <v>0</v>
      </c>
      <c r="S25" s="141"/>
      <c r="T25" s="141" t="s">
        <v>413</v>
      </c>
      <c r="U25" s="141"/>
      <c r="V25" s="141" t="s">
        <v>413</v>
      </c>
      <c r="W25" s="141"/>
      <c r="X25" s="141"/>
      <c r="Y25" s="141"/>
      <c r="Z25" s="141"/>
      <c r="AA25" s="141"/>
    </row>
    <row r="26" spans="1:27" s="62" customFormat="1" ht="15">
      <c r="A26" s="189" t="s">
        <v>805</v>
      </c>
      <c r="B26" s="149" t="s">
        <v>198</v>
      </c>
      <c r="C26" s="190" t="s">
        <v>221</v>
      </c>
      <c r="D26" s="191" t="s">
        <v>1905</v>
      </c>
      <c r="E26" s="192">
        <v>940</v>
      </c>
      <c r="F26" s="192">
        <v>899</v>
      </c>
      <c r="G26" s="143" t="s">
        <v>2619</v>
      </c>
      <c r="H26" s="143"/>
      <c r="I26" s="143"/>
      <c r="J26" s="143"/>
      <c r="K26" s="143"/>
      <c r="L26" s="143"/>
      <c r="M26" s="143"/>
      <c r="N26" s="143"/>
      <c r="O26" s="143"/>
      <c r="P26" s="143"/>
      <c r="Q26" s="143"/>
      <c r="R26" s="143">
        <v>0.07436050858687308</v>
      </c>
      <c r="S26" s="123" t="s">
        <v>413</v>
      </c>
      <c r="T26" s="143">
        <v>5.311216147957076E-05</v>
      </c>
      <c r="U26" s="143" t="s">
        <v>413</v>
      </c>
      <c r="V26" s="143">
        <v>6.341874680580984E-05</v>
      </c>
      <c r="W26" s="143"/>
      <c r="X26" s="143"/>
      <c r="Y26" s="143"/>
      <c r="Z26" s="143"/>
      <c r="AA26" s="143"/>
    </row>
  </sheetData>
  <sheetProtection/>
  <mergeCells count="3">
    <mergeCell ref="J1:L1"/>
    <mergeCell ref="N1:P1"/>
    <mergeCell ref="A1:D1"/>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37"/>
  <sheetViews>
    <sheetView zoomScalePageLayoutView="0" workbookViewId="0" topLeftCell="A1">
      <selection activeCell="A35" sqref="A35"/>
    </sheetView>
  </sheetViews>
  <sheetFormatPr defaultColWidth="9.140625" defaultRowHeight="12.75"/>
  <cols>
    <col min="1" max="1" width="27.57421875" style="0" customWidth="1"/>
    <col min="2" max="2" width="17.8515625" style="0" customWidth="1"/>
    <col min="3" max="3" width="18.8515625" style="0" customWidth="1"/>
  </cols>
  <sheetData>
    <row r="1" spans="1:8" ht="12.75">
      <c r="A1" s="641" t="s">
        <v>3014</v>
      </c>
      <c r="B1" s="639"/>
      <c r="C1" s="639"/>
      <c r="D1" s="639"/>
      <c r="E1" s="639"/>
      <c r="F1" s="639"/>
      <c r="G1" s="639"/>
      <c r="H1" s="639"/>
    </row>
    <row r="2" spans="1:8" ht="12.75">
      <c r="A2" s="640" t="s">
        <v>3015</v>
      </c>
      <c r="B2" s="640" t="s">
        <v>3016</v>
      </c>
      <c r="C2" s="640" t="s">
        <v>3017</v>
      </c>
      <c r="D2" s="639"/>
      <c r="E2" s="639"/>
      <c r="F2" s="639"/>
      <c r="G2" s="639"/>
      <c r="H2" s="639"/>
    </row>
    <row r="3" spans="1:8" ht="51">
      <c r="A3" s="640">
        <v>600</v>
      </c>
      <c r="B3" s="640" t="s">
        <v>3018</v>
      </c>
      <c r="C3" s="640" t="s">
        <v>3019</v>
      </c>
      <c r="D3" s="639"/>
      <c r="E3" s="639"/>
      <c r="F3" s="639"/>
      <c r="G3" s="639"/>
      <c r="H3" s="639"/>
    </row>
    <row r="4" spans="1:8" ht="51">
      <c r="A4" s="640">
        <v>100</v>
      </c>
      <c r="B4" s="640" t="s">
        <v>3020</v>
      </c>
      <c r="C4" s="640" t="s">
        <v>3019</v>
      </c>
      <c r="D4" s="639"/>
      <c r="E4" s="639"/>
      <c r="F4" s="639"/>
      <c r="G4" s="639"/>
      <c r="H4" s="639"/>
    </row>
    <row r="5" spans="1:8" ht="12.75">
      <c r="A5" s="639"/>
      <c r="B5" s="639"/>
      <c r="C5" s="639"/>
      <c r="D5" s="639"/>
      <c r="E5" s="639"/>
      <c r="F5" s="639"/>
      <c r="G5" s="639"/>
      <c r="H5" s="639"/>
    </row>
    <row r="6" spans="1:8" ht="25.5">
      <c r="A6" s="641" t="s">
        <v>3021</v>
      </c>
      <c r="B6" s="639"/>
      <c r="C6" s="639"/>
      <c r="D6" s="639"/>
      <c r="E6" s="639"/>
      <c r="F6" s="639"/>
      <c r="G6" s="639"/>
      <c r="H6" s="639"/>
    </row>
    <row r="7" spans="1:8" ht="12.75">
      <c r="A7" s="640" t="s">
        <v>3015</v>
      </c>
      <c r="B7" s="640" t="s">
        <v>3016</v>
      </c>
      <c r="C7" s="640" t="s">
        <v>3017</v>
      </c>
      <c r="D7" s="639"/>
      <c r="E7" s="639"/>
      <c r="F7" s="639"/>
      <c r="G7" s="639"/>
      <c r="H7" s="639"/>
    </row>
    <row r="8" spans="1:8" ht="51">
      <c r="A8" s="640">
        <v>1500</v>
      </c>
      <c r="B8" s="640" t="s">
        <v>3018</v>
      </c>
      <c r="C8" s="640" t="s">
        <v>3019</v>
      </c>
      <c r="D8" s="639"/>
      <c r="E8" s="639"/>
      <c r="F8" s="639"/>
      <c r="G8" s="639"/>
      <c r="H8" s="639"/>
    </row>
    <row r="9" spans="1:8" ht="51">
      <c r="A9" s="640">
        <v>100</v>
      </c>
      <c r="B9" s="640" t="s">
        <v>3020</v>
      </c>
      <c r="C9" s="640" t="s">
        <v>3019</v>
      </c>
      <c r="D9" s="639"/>
      <c r="E9" s="639"/>
      <c r="F9" s="639"/>
      <c r="G9" s="639"/>
      <c r="H9" s="639"/>
    </row>
    <row r="10" spans="1:8" ht="12.75">
      <c r="A10" s="639"/>
      <c r="B10" s="639"/>
      <c r="C10" s="639"/>
      <c r="D10" s="639"/>
      <c r="E10" s="639"/>
      <c r="F10" s="639"/>
      <c r="G10" s="639"/>
      <c r="H10" s="639"/>
    </row>
    <row r="11" spans="1:8" ht="25.5">
      <c r="A11" s="641" t="s">
        <v>3022</v>
      </c>
      <c r="B11" s="639"/>
      <c r="C11" s="639"/>
      <c r="D11" s="639"/>
      <c r="E11" s="639"/>
      <c r="F11" s="639"/>
      <c r="G11" s="639"/>
      <c r="H11" s="639"/>
    </row>
    <row r="12" spans="1:8" ht="12.75">
      <c r="A12" s="640" t="s">
        <v>3015</v>
      </c>
      <c r="B12" s="640" t="s">
        <v>3016</v>
      </c>
      <c r="C12" s="640" t="s">
        <v>3017</v>
      </c>
      <c r="D12" s="639"/>
      <c r="E12" s="639"/>
      <c r="F12" s="639"/>
      <c r="G12" s="639"/>
      <c r="H12" s="639"/>
    </row>
    <row r="13" spans="1:8" ht="51">
      <c r="A13" s="640">
        <v>3350</v>
      </c>
      <c r="B13" s="640" t="s">
        <v>3018</v>
      </c>
      <c r="C13" s="640" t="s">
        <v>3019</v>
      </c>
      <c r="D13" s="639"/>
      <c r="E13" s="639"/>
      <c r="F13" s="639"/>
      <c r="G13" s="639"/>
      <c r="H13" s="639"/>
    </row>
    <row r="14" spans="1:8" ht="51">
      <c r="A14" s="640">
        <v>100</v>
      </c>
      <c r="B14" s="640" t="s">
        <v>3020</v>
      </c>
      <c r="C14" s="640" t="s">
        <v>3019</v>
      </c>
      <c r="D14" s="639"/>
      <c r="E14" s="639"/>
      <c r="F14" s="639"/>
      <c r="G14" s="639"/>
      <c r="H14" s="639"/>
    </row>
    <row r="15" spans="1:8" ht="12.75">
      <c r="A15" s="639"/>
      <c r="B15" s="639"/>
      <c r="C15" s="639"/>
      <c r="D15" s="639"/>
      <c r="E15" s="639"/>
      <c r="F15" s="639"/>
      <c r="G15" s="639"/>
      <c r="H15" s="639"/>
    </row>
    <row r="16" spans="1:8" ht="25.5">
      <c r="A16" s="641" t="s">
        <v>3023</v>
      </c>
      <c r="B16" s="639"/>
      <c r="C16" s="639"/>
      <c r="D16" s="639"/>
      <c r="E16" s="639"/>
      <c r="F16" s="639"/>
      <c r="G16" s="639"/>
      <c r="H16" s="639"/>
    </row>
    <row r="17" spans="1:8" ht="12.75">
      <c r="A17" s="640" t="s">
        <v>3015</v>
      </c>
      <c r="B17" s="640" t="s">
        <v>3016</v>
      </c>
      <c r="C17" s="640" t="s">
        <v>3017</v>
      </c>
      <c r="D17" s="639"/>
      <c r="E17" s="639"/>
      <c r="F17" s="639"/>
      <c r="G17" s="639"/>
      <c r="H17" s="639"/>
    </row>
    <row r="18" spans="1:8" ht="51">
      <c r="A18" s="640">
        <v>500</v>
      </c>
      <c r="B18" s="640" t="s">
        <v>3018</v>
      </c>
      <c r="C18" s="640" t="s">
        <v>3019</v>
      </c>
      <c r="D18" s="639"/>
      <c r="E18" s="639"/>
      <c r="F18" s="639"/>
      <c r="G18" s="639"/>
      <c r="H18" s="639"/>
    </row>
    <row r="19" spans="1:8" ht="51">
      <c r="A19" s="640">
        <v>19000</v>
      </c>
      <c r="B19" s="640" t="s">
        <v>3024</v>
      </c>
      <c r="C19" s="640" t="s">
        <v>3019</v>
      </c>
      <c r="D19" s="639"/>
      <c r="E19" s="639"/>
      <c r="F19" s="639"/>
      <c r="G19" s="639"/>
      <c r="H19" s="639"/>
    </row>
    <row r="20" spans="1:8" ht="51">
      <c r="A20" s="640">
        <v>1500</v>
      </c>
      <c r="B20" s="640" t="s">
        <v>3018</v>
      </c>
      <c r="C20" s="640" t="s">
        <v>3019</v>
      </c>
      <c r="D20" s="639"/>
      <c r="E20" s="639"/>
      <c r="F20" s="639"/>
      <c r="G20" s="639"/>
      <c r="H20" s="639"/>
    </row>
    <row r="21" spans="1:8" ht="51">
      <c r="A21" s="640">
        <v>100</v>
      </c>
      <c r="B21" s="640" t="s">
        <v>3020</v>
      </c>
      <c r="C21" s="640" t="s">
        <v>3019</v>
      </c>
      <c r="D21" s="639"/>
      <c r="E21" s="639"/>
      <c r="F21" s="639"/>
      <c r="G21" s="639"/>
      <c r="H21" s="639"/>
    </row>
    <row r="22" spans="1:8" ht="25.5">
      <c r="A22" s="640">
        <v>8947</v>
      </c>
      <c r="B22" s="640" t="s">
        <v>3025</v>
      </c>
      <c r="C22" s="639"/>
      <c r="D22" s="639"/>
      <c r="E22" s="639"/>
      <c r="F22" s="639"/>
      <c r="G22" s="639"/>
      <c r="H22" s="639"/>
    </row>
    <row r="23" spans="1:8" ht="12.75">
      <c r="A23" s="639"/>
      <c r="B23" s="639"/>
      <c r="C23" s="639"/>
      <c r="D23" s="639"/>
      <c r="E23" s="639"/>
      <c r="F23" s="639"/>
      <c r="G23" s="639"/>
      <c r="H23" s="639"/>
    </row>
    <row r="24" spans="1:8" ht="12.75">
      <c r="A24" s="639"/>
      <c r="B24" s="639"/>
      <c r="C24" s="639"/>
      <c r="D24" s="639"/>
      <c r="E24" s="639"/>
      <c r="F24" s="639"/>
      <c r="G24" s="639"/>
      <c r="H24" s="639"/>
    </row>
    <row r="25" spans="1:8" ht="38.25">
      <c r="A25" s="641" t="s">
        <v>3026</v>
      </c>
      <c r="B25" s="639"/>
      <c r="C25" s="639"/>
      <c r="D25" s="639"/>
      <c r="E25" s="639"/>
      <c r="F25" s="639"/>
      <c r="G25" s="639"/>
      <c r="H25" s="639"/>
    </row>
    <row r="26" spans="1:8" ht="12.75">
      <c r="A26" s="640" t="s">
        <v>3015</v>
      </c>
      <c r="B26" s="640" t="s">
        <v>3016</v>
      </c>
      <c r="C26" s="640" t="s">
        <v>3017</v>
      </c>
      <c r="D26" s="639"/>
      <c r="E26" s="639"/>
      <c r="F26" s="639"/>
      <c r="G26" s="639"/>
      <c r="H26" s="639"/>
    </row>
    <row r="27" spans="1:8" ht="51">
      <c r="A27" s="640">
        <v>500</v>
      </c>
      <c r="B27" s="640" t="s">
        <v>3018</v>
      </c>
      <c r="C27" s="640" t="s">
        <v>3019</v>
      </c>
      <c r="D27" s="639"/>
      <c r="E27" s="639"/>
      <c r="F27" s="639"/>
      <c r="G27" s="639"/>
      <c r="H27" s="639"/>
    </row>
    <row r="28" spans="1:8" ht="51">
      <c r="A28" s="640">
        <v>19000</v>
      </c>
      <c r="B28" s="640" t="s">
        <v>3024</v>
      </c>
      <c r="C28" s="640" t="s">
        <v>3019</v>
      </c>
      <c r="D28" s="639"/>
      <c r="E28" s="639"/>
      <c r="F28" s="639"/>
      <c r="G28" s="639"/>
      <c r="H28" s="639"/>
    </row>
    <row r="29" spans="1:8" ht="51">
      <c r="A29" s="640">
        <v>1000</v>
      </c>
      <c r="B29" s="640" t="s">
        <v>3018</v>
      </c>
      <c r="C29" s="640" t="s">
        <v>3019</v>
      </c>
      <c r="D29" s="639"/>
      <c r="E29" s="639"/>
      <c r="F29" s="639"/>
      <c r="G29" s="639"/>
      <c r="H29" s="639"/>
    </row>
    <row r="30" spans="1:8" ht="12.75">
      <c r="A30" s="639"/>
      <c r="B30" s="639"/>
      <c r="C30" s="639"/>
      <c r="D30" s="639"/>
      <c r="E30" s="639"/>
      <c r="F30" s="639"/>
      <c r="G30" s="639"/>
      <c r="H30" s="639"/>
    </row>
    <row r="31" spans="1:8" ht="25.5">
      <c r="A31" s="641" t="s">
        <v>3027</v>
      </c>
      <c r="B31" s="639"/>
      <c r="C31" s="639"/>
      <c r="D31" s="639"/>
      <c r="E31" s="639"/>
      <c r="F31" s="639"/>
      <c r="G31" s="639"/>
      <c r="H31" s="639"/>
    </row>
    <row r="32" spans="1:8" ht="12.75">
      <c r="A32" s="640" t="s">
        <v>3015</v>
      </c>
      <c r="B32" s="640" t="s">
        <v>3016</v>
      </c>
      <c r="C32" s="640" t="s">
        <v>3017</v>
      </c>
      <c r="D32" s="639"/>
      <c r="E32" s="639"/>
      <c r="F32" s="639"/>
      <c r="G32" s="639"/>
      <c r="H32" s="639"/>
    </row>
    <row r="33" spans="1:8" ht="51">
      <c r="A33" s="640">
        <v>2000</v>
      </c>
      <c r="B33" s="640" t="s">
        <v>3018</v>
      </c>
      <c r="C33" s="640" t="s">
        <v>3019</v>
      </c>
      <c r="D33" s="639"/>
      <c r="E33" s="639"/>
      <c r="F33" s="639"/>
      <c r="G33" s="639"/>
      <c r="H33" s="639"/>
    </row>
    <row r="34" spans="1:8" ht="12.75">
      <c r="A34" s="639"/>
      <c r="B34" s="639"/>
      <c r="C34" s="639"/>
      <c r="D34" s="639"/>
      <c r="E34" s="639"/>
      <c r="F34" s="639"/>
      <c r="G34" s="639"/>
      <c r="H34" s="639"/>
    </row>
    <row r="35" spans="1:8" ht="38.25">
      <c r="A35" s="641" t="s">
        <v>3028</v>
      </c>
      <c r="B35" s="639"/>
      <c r="C35" s="639"/>
      <c r="D35" s="639"/>
      <c r="E35" s="639"/>
      <c r="F35" s="639"/>
      <c r="G35" s="639"/>
      <c r="H35" s="639"/>
    </row>
    <row r="36" spans="1:8" ht="12.75">
      <c r="A36" s="640" t="s">
        <v>3015</v>
      </c>
      <c r="B36" s="640" t="s">
        <v>3016</v>
      </c>
      <c r="C36" s="640" t="s">
        <v>3017</v>
      </c>
      <c r="D36" s="639"/>
      <c r="E36" s="639"/>
      <c r="F36" s="639"/>
      <c r="G36" s="639"/>
      <c r="H36" s="639"/>
    </row>
    <row r="37" spans="1:8" ht="51">
      <c r="A37" s="640">
        <v>600</v>
      </c>
      <c r="B37" s="640" t="s">
        <v>3018</v>
      </c>
      <c r="C37" s="640" t="s">
        <v>3019</v>
      </c>
      <c r="D37" s="639"/>
      <c r="E37" s="639"/>
      <c r="F37" s="639"/>
      <c r="G37" s="639"/>
      <c r="H37" s="63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238"/>
  <sheetViews>
    <sheetView zoomScalePageLayoutView="0" workbookViewId="0" topLeftCell="A1">
      <pane ySplit="1" topLeftCell="A2" activePane="bottomLeft" state="frozen"/>
      <selection pane="topLeft" activeCell="A1" sqref="A1"/>
      <selection pane="bottomLeft" activeCell="A6" sqref="A6:IV6"/>
    </sheetView>
  </sheetViews>
  <sheetFormatPr defaultColWidth="8.8515625" defaultRowHeight="12.75"/>
  <cols>
    <col min="1" max="1" width="11.421875" style="0" customWidth="1"/>
    <col min="2" max="2" width="8.8515625" style="0" customWidth="1"/>
    <col min="3" max="3" width="14.00390625" style="0" customWidth="1"/>
    <col min="4" max="4" width="13.8515625" style="0" customWidth="1"/>
    <col min="5" max="5" width="14.00390625" style="0" customWidth="1"/>
    <col min="6" max="6" width="18.57421875" style="0" customWidth="1"/>
    <col min="7" max="8" width="39.8515625" style="0" customWidth="1"/>
    <col min="9" max="9" width="23.00390625" style="0" customWidth="1"/>
    <col min="10" max="10" width="10.421875" style="0" bestFit="1" customWidth="1"/>
    <col min="11" max="11" width="8.8515625" style="0" customWidth="1"/>
    <col min="12" max="12" width="24.421875" style="0" customWidth="1"/>
    <col min="13" max="13" width="20.8515625" style="0" customWidth="1"/>
    <col min="14" max="16" width="8.8515625" style="0" customWidth="1"/>
    <col min="17" max="17" width="26.8515625" style="0" customWidth="1"/>
    <col min="18" max="18" width="13.8515625" style="0" customWidth="1"/>
    <col min="19" max="19" width="15.28125" style="53" customWidth="1"/>
    <col min="20" max="20" width="13.7109375" style="53" customWidth="1"/>
    <col min="21" max="21" width="14.421875" style="53" customWidth="1"/>
    <col min="22" max="22" width="14.28125" style="53" customWidth="1"/>
    <col min="23" max="23" width="15.421875" style="53" customWidth="1"/>
    <col min="24" max="24" width="27.57421875" style="53" customWidth="1"/>
  </cols>
  <sheetData>
    <row r="1" spans="1:24" ht="66.75" customHeight="1">
      <c r="A1" s="647" t="s">
        <v>2625</v>
      </c>
      <c r="B1" s="647"/>
      <c r="C1" s="647"/>
      <c r="D1" s="647"/>
      <c r="E1" s="79" t="s">
        <v>2626</v>
      </c>
      <c r="F1" s="79" t="s">
        <v>2627</v>
      </c>
      <c r="G1" s="1" t="s">
        <v>1712</v>
      </c>
      <c r="H1" s="1" t="s">
        <v>2084</v>
      </c>
      <c r="I1" s="1" t="s">
        <v>2127</v>
      </c>
      <c r="J1" s="18" t="s">
        <v>1708</v>
      </c>
      <c r="K1" s="645" t="s">
        <v>1709</v>
      </c>
      <c r="L1" s="646"/>
      <c r="M1" s="646"/>
      <c r="N1" s="1" t="s">
        <v>1710</v>
      </c>
      <c r="O1" s="645" t="s">
        <v>1713</v>
      </c>
      <c r="P1" s="646"/>
      <c r="Q1" s="646"/>
      <c r="R1" s="1" t="s">
        <v>2274</v>
      </c>
      <c r="S1" s="51" t="s">
        <v>2527</v>
      </c>
      <c r="T1" s="51" t="s">
        <v>2528</v>
      </c>
      <c r="U1" s="51" t="s">
        <v>2529</v>
      </c>
      <c r="V1" s="51" t="s">
        <v>2530</v>
      </c>
      <c r="W1" s="51" t="s">
        <v>2532</v>
      </c>
      <c r="X1" s="52" t="s">
        <v>2531</v>
      </c>
    </row>
    <row r="2" spans="1:24" s="157" customFormat="1" ht="45">
      <c r="A2" s="85" t="s">
        <v>723</v>
      </c>
      <c r="B2" s="156" t="s">
        <v>418</v>
      </c>
      <c r="C2" s="87" t="s">
        <v>63</v>
      </c>
      <c r="D2" s="88" t="s">
        <v>2069</v>
      </c>
      <c r="E2" s="89">
        <v>13740</v>
      </c>
      <c r="F2" s="89">
        <v>14525</v>
      </c>
      <c r="S2" s="183"/>
      <c r="T2" s="183"/>
      <c r="U2" s="183"/>
      <c r="V2" s="183"/>
      <c r="W2" s="183"/>
      <c r="X2" s="183"/>
    </row>
    <row r="3" spans="1:24" s="84" customFormat="1" ht="15">
      <c r="A3" s="95" t="s">
        <v>724</v>
      </c>
      <c r="B3" s="96" t="s">
        <v>418</v>
      </c>
      <c r="C3" s="124" t="s">
        <v>64</v>
      </c>
      <c r="D3" s="98" t="s">
        <v>1906</v>
      </c>
      <c r="E3" s="99">
        <v>11120</v>
      </c>
      <c r="F3" s="99">
        <v>11770</v>
      </c>
      <c r="S3" s="130"/>
      <c r="T3" s="130"/>
      <c r="U3" s="130"/>
      <c r="V3" s="130"/>
      <c r="W3" s="130"/>
      <c r="X3" s="130"/>
    </row>
    <row r="4" spans="1:24" s="84" customFormat="1" ht="42.75">
      <c r="A4" s="95" t="s">
        <v>725</v>
      </c>
      <c r="B4" s="96" t="s">
        <v>418</v>
      </c>
      <c r="C4" s="124" t="s">
        <v>65</v>
      </c>
      <c r="D4" s="98" t="s">
        <v>1907</v>
      </c>
      <c r="E4" s="99" t="s">
        <v>1689</v>
      </c>
      <c r="F4" s="99" t="s">
        <v>1689</v>
      </c>
      <c r="S4" s="130"/>
      <c r="T4" s="130"/>
      <c r="U4" s="130"/>
      <c r="V4" s="130"/>
      <c r="W4" s="130"/>
      <c r="X4" s="130"/>
    </row>
    <row r="5" spans="1:24" s="162" customFormat="1" ht="15">
      <c r="A5" s="105" t="s">
        <v>726</v>
      </c>
      <c r="B5" s="158" t="s">
        <v>418</v>
      </c>
      <c r="C5" s="159" t="s">
        <v>66</v>
      </c>
      <c r="D5" s="160" t="s">
        <v>1908</v>
      </c>
      <c r="E5" s="161">
        <v>10420</v>
      </c>
      <c r="F5" s="161">
        <v>11029</v>
      </c>
      <c r="S5" s="184"/>
      <c r="T5" s="184"/>
      <c r="U5" s="184"/>
      <c r="V5" s="184"/>
      <c r="W5" s="184"/>
      <c r="X5" s="184"/>
    </row>
    <row r="6" spans="1:24" s="168" customFormat="1" ht="42.75">
      <c r="A6" s="163" t="s">
        <v>727</v>
      </c>
      <c r="B6" s="164" t="s">
        <v>418</v>
      </c>
      <c r="C6" s="165" t="s">
        <v>67</v>
      </c>
      <c r="D6" s="166" t="s">
        <v>1910</v>
      </c>
      <c r="E6" s="167">
        <v>2580</v>
      </c>
      <c r="F6" s="167">
        <v>2731</v>
      </c>
      <c r="S6" s="185"/>
      <c r="T6" s="185"/>
      <c r="U6" s="185"/>
      <c r="V6" s="185"/>
      <c r="W6" s="185"/>
      <c r="X6" s="185"/>
    </row>
    <row r="7" spans="1:24" s="144" customFormat="1" ht="28.5">
      <c r="A7" s="95" t="s">
        <v>728</v>
      </c>
      <c r="B7" s="169" t="s">
        <v>418</v>
      </c>
      <c r="C7" s="97" t="s">
        <v>68</v>
      </c>
      <c r="D7" s="170"/>
      <c r="E7" s="171">
        <v>2560</v>
      </c>
      <c r="F7" s="171">
        <v>2710</v>
      </c>
      <c r="S7" s="186"/>
      <c r="T7" s="186"/>
      <c r="U7" s="186"/>
      <c r="V7" s="186"/>
      <c r="W7" s="186"/>
      <c r="X7" s="186"/>
    </row>
    <row r="8" spans="1:24" s="84" customFormat="1" ht="30">
      <c r="A8" s="95" t="s">
        <v>429</v>
      </c>
      <c r="B8" s="96" t="s">
        <v>418</v>
      </c>
      <c r="C8" s="124" t="s">
        <v>69</v>
      </c>
      <c r="D8" s="98"/>
      <c r="E8" s="99">
        <v>0</v>
      </c>
      <c r="F8" s="99">
        <v>0</v>
      </c>
      <c r="S8" s="130"/>
      <c r="T8" s="130"/>
      <c r="U8" s="130"/>
      <c r="V8" s="130"/>
      <c r="W8" s="130"/>
      <c r="X8" s="130"/>
    </row>
    <row r="9" spans="1:24" s="84" customFormat="1" ht="30">
      <c r="A9" s="95" t="s">
        <v>430</v>
      </c>
      <c r="B9" s="96" t="s">
        <v>418</v>
      </c>
      <c r="C9" s="124" t="s">
        <v>70</v>
      </c>
      <c r="D9" s="98"/>
      <c r="E9" s="99" t="s">
        <v>1689</v>
      </c>
      <c r="F9" s="99" t="s">
        <v>1689</v>
      </c>
      <c r="S9" s="130"/>
      <c r="T9" s="130"/>
      <c r="U9" s="130"/>
      <c r="V9" s="130"/>
      <c r="W9" s="130"/>
      <c r="X9" s="130"/>
    </row>
    <row r="10" spans="1:24" s="84" customFormat="1" ht="30">
      <c r="A10" s="95" t="s">
        <v>431</v>
      </c>
      <c r="B10" s="96" t="s">
        <v>418</v>
      </c>
      <c r="C10" s="124" t="s">
        <v>71</v>
      </c>
      <c r="D10" s="98"/>
      <c r="E10" s="99">
        <v>0</v>
      </c>
      <c r="F10" s="99">
        <v>0</v>
      </c>
      <c r="S10" s="130"/>
      <c r="T10" s="130"/>
      <c r="U10" s="130"/>
      <c r="V10" s="130"/>
      <c r="W10" s="130"/>
      <c r="X10" s="130"/>
    </row>
    <row r="11" spans="1:24" s="84" customFormat="1" ht="30">
      <c r="A11" s="95" t="s">
        <v>432</v>
      </c>
      <c r="B11" s="96" t="s">
        <v>418</v>
      </c>
      <c r="C11" s="124" t="s">
        <v>72</v>
      </c>
      <c r="D11" s="98"/>
      <c r="E11" s="99">
        <v>0</v>
      </c>
      <c r="F11" s="99">
        <v>0</v>
      </c>
      <c r="S11" s="130"/>
      <c r="T11" s="130"/>
      <c r="U11" s="130"/>
      <c r="V11" s="130"/>
      <c r="W11" s="130"/>
      <c r="X11" s="130"/>
    </row>
    <row r="12" spans="1:24" s="84" customFormat="1" ht="30">
      <c r="A12" s="95" t="s">
        <v>433</v>
      </c>
      <c r="B12" s="96" t="s">
        <v>418</v>
      </c>
      <c r="C12" s="124" t="s">
        <v>73</v>
      </c>
      <c r="D12" s="98"/>
      <c r="E12" s="99" t="s">
        <v>1689</v>
      </c>
      <c r="F12" s="99" t="s">
        <v>1689</v>
      </c>
      <c r="S12" s="130"/>
      <c r="T12" s="130"/>
      <c r="U12" s="130"/>
      <c r="V12" s="130"/>
      <c r="W12" s="130"/>
      <c r="X12" s="130"/>
    </row>
    <row r="13" spans="1:24" s="84" customFormat="1" ht="30">
      <c r="A13" s="95" t="s">
        <v>434</v>
      </c>
      <c r="B13" s="96" t="s">
        <v>418</v>
      </c>
      <c r="C13" s="124" t="s">
        <v>74</v>
      </c>
      <c r="D13" s="98"/>
      <c r="E13" s="99" t="s">
        <v>1689</v>
      </c>
      <c r="F13" s="99" t="s">
        <v>1689</v>
      </c>
      <c r="S13" s="130"/>
      <c r="T13" s="130"/>
      <c r="U13" s="130"/>
      <c r="V13" s="130"/>
      <c r="W13" s="130"/>
      <c r="X13" s="130"/>
    </row>
    <row r="14" spans="1:24" s="84" customFormat="1" ht="30">
      <c r="A14" s="95" t="s">
        <v>435</v>
      </c>
      <c r="B14" s="96" t="s">
        <v>418</v>
      </c>
      <c r="C14" s="124" t="s">
        <v>75</v>
      </c>
      <c r="D14" s="98"/>
      <c r="E14" s="99">
        <v>0</v>
      </c>
      <c r="F14" s="99">
        <v>0</v>
      </c>
      <c r="S14" s="130"/>
      <c r="T14" s="130"/>
      <c r="U14" s="130"/>
      <c r="V14" s="130"/>
      <c r="W14" s="130"/>
      <c r="X14" s="130"/>
    </row>
    <row r="15" spans="1:24" s="141" customFormat="1" ht="42.75">
      <c r="A15" s="115" t="s">
        <v>436</v>
      </c>
      <c r="B15" s="116" t="s">
        <v>418</v>
      </c>
      <c r="C15" s="117" t="s">
        <v>76</v>
      </c>
      <c r="D15" s="118" t="s">
        <v>2544</v>
      </c>
      <c r="E15" s="119">
        <v>280</v>
      </c>
      <c r="F15" s="119">
        <v>296</v>
      </c>
      <c r="G15" s="141" t="s">
        <v>2546</v>
      </c>
      <c r="H15" s="182">
        <v>1264.2547664813756</v>
      </c>
      <c r="I15" s="141">
        <v>1260</v>
      </c>
      <c r="J15" s="172">
        <v>0.25</v>
      </c>
      <c r="K15" s="141" t="s">
        <v>2175</v>
      </c>
      <c r="L15" s="141" t="s">
        <v>2147</v>
      </c>
      <c r="M15" s="141" t="s">
        <v>2176</v>
      </c>
      <c r="N15" s="141" t="s">
        <v>2144</v>
      </c>
      <c r="O15" s="141" t="s">
        <v>413</v>
      </c>
      <c r="P15" s="141" t="s">
        <v>413</v>
      </c>
      <c r="Q15" s="141" t="s">
        <v>413</v>
      </c>
      <c r="R15" s="141">
        <v>1</v>
      </c>
      <c r="S15" s="143">
        <v>9.75</v>
      </c>
      <c r="T15" s="143">
        <v>0.00772</v>
      </c>
      <c r="U15" s="143">
        <v>10.1287</v>
      </c>
      <c r="V15" s="143">
        <v>0.00801</v>
      </c>
      <c r="W15" s="143">
        <v>2313.86</v>
      </c>
      <c r="X15" s="143">
        <v>1.83059</v>
      </c>
    </row>
    <row r="16" spans="1:24" s="141" customFormat="1" ht="30">
      <c r="A16" s="115" t="s">
        <v>437</v>
      </c>
      <c r="B16" s="116" t="s">
        <v>418</v>
      </c>
      <c r="C16" s="117" t="s">
        <v>77</v>
      </c>
      <c r="D16" s="118" t="s">
        <v>2545</v>
      </c>
      <c r="E16" s="119">
        <v>310</v>
      </c>
      <c r="F16" s="119">
        <v>328</v>
      </c>
      <c r="G16" s="141" t="s">
        <v>2547</v>
      </c>
      <c r="H16" s="141">
        <v>2142.2094654267753</v>
      </c>
      <c r="I16" s="141">
        <v>2135</v>
      </c>
      <c r="J16" s="172">
        <v>0.25</v>
      </c>
      <c r="K16" s="141" t="s">
        <v>2174</v>
      </c>
      <c r="L16" s="141" t="s">
        <v>2193</v>
      </c>
      <c r="M16" s="141" t="s">
        <v>2194</v>
      </c>
      <c r="N16" s="141" t="s">
        <v>2145</v>
      </c>
      <c r="O16" s="141" t="s">
        <v>413</v>
      </c>
      <c r="P16" s="141" t="s">
        <v>413</v>
      </c>
      <c r="Q16" s="141" t="s">
        <v>413</v>
      </c>
      <c r="R16" s="141">
        <v>1</v>
      </c>
      <c r="S16" s="143">
        <v>31.0417</v>
      </c>
      <c r="T16" s="143">
        <v>0.01449</v>
      </c>
      <c r="U16" s="143">
        <v>21.43</v>
      </c>
      <c r="V16" s="143">
        <v>0.01001</v>
      </c>
      <c r="W16" s="143">
        <v>3167.8861</v>
      </c>
      <c r="X16" s="143">
        <v>1.47894</v>
      </c>
    </row>
    <row r="17" spans="1:24" s="84" customFormat="1" ht="42.75">
      <c r="A17" s="95" t="s">
        <v>438</v>
      </c>
      <c r="B17" s="96" t="s">
        <v>418</v>
      </c>
      <c r="C17" s="124" t="s">
        <v>78</v>
      </c>
      <c r="D17" s="98"/>
      <c r="E17" s="99" t="s">
        <v>1689</v>
      </c>
      <c r="F17" s="99" t="s">
        <v>1689</v>
      </c>
      <c r="S17" s="130"/>
      <c r="T17" s="130"/>
      <c r="U17" s="130"/>
      <c r="V17" s="130"/>
      <c r="W17" s="130"/>
      <c r="X17" s="130"/>
    </row>
    <row r="18" spans="1:24" s="84" customFormat="1" ht="57">
      <c r="A18" s="95" t="s">
        <v>439</v>
      </c>
      <c r="B18" s="96" t="s">
        <v>418</v>
      </c>
      <c r="C18" s="124" t="s">
        <v>79</v>
      </c>
      <c r="D18" s="98"/>
      <c r="E18" s="99" t="s">
        <v>1689</v>
      </c>
      <c r="F18" s="99" t="s">
        <v>1689</v>
      </c>
      <c r="S18" s="130"/>
      <c r="T18" s="130"/>
      <c r="U18" s="130"/>
      <c r="V18" s="130"/>
      <c r="W18" s="130"/>
      <c r="X18" s="130"/>
    </row>
    <row r="19" spans="1:24" s="84" customFormat="1" ht="30">
      <c r="A19" s="95" t="s">
        <v>440</v>
      </c>
      <c r="B19" s="96" t="s">
        <v>418</v>
      </c>
      <c r="C19" s="124" t="s">
        <v>80</v>
      </c>
      <c r="D19" s="98"/>
      <c r="E19" s="99">
        <v>0</v>
      </c>
      <c r="F19" s="99">
        <v>0</v>
      </c>
      <c r="S19" s="130"/>
      <c r="T19" s="130"/>
      <c r="U19" s="130"/>
      <c r="V19" s="130"/>
      <c r="W19" s="130"/>
      <c r="X19" s="130"/>
    </row>
    <row r="20" spans="1:24" s="141" customFormat="1" ht="30">
      <c r="A20" s="115" t="s">
        <v>441</v>
      </c>
      <c r="B20" s="116" t="s">
        <v>418</v>
      </c>
      <c r="C20" s="117" t="s">
        <v>81</v>
      </c>
      <c r="D20" s="118" t="s">
        <v>2128</v>
      </c>
      <c r="E20" s="119">
        <v>330</v>
      </c>
      <c r="F20" s="119">
        <v>349</v>
      </c>
      <c r="G20" s="141" t="s">
        <v>2548</v>
      </c>
      <c r="H20" s="141">
        <v>3015.1472803782012</v>
      </c>
      <c r="I20" s="141">
        <v>3005</v>
      </c>
      <c r="J20" s="172">
        <v>0.25</v>
      </c>
      <c r="K20" s="141" t="s">
        <v>2170</v>
      </c>
      <c r="L20" s="141" t="s">
        <v>2196</v>
      </c>
      <c r="M20" s="141" t="s">
        <v>2195</v>
      </c>
      <c r="N20" s="141" t="s">
        <v>2144</v>
      </c>
      <c r="R20" s="141">
        <v>1</v>
      </c>
      <c r="S20" s="143">
        <v>29.224</v>
      </c>
      <c r="T20" s="143">
        <v>0.00969</v>
      </c>
      <c r="U20" s="143">
        <v>7.7303</v>
      </c>
      <c r="V20" s="143">
        <v>0.00256</v>
      </c>
      <c r="W20" s="143">
        <v>1592.9553</v>
      </c>
      <c r="X20" s="143">
        <v>0.52832</v>
      </c>
    </row>
    <row r="21" spans="1:24" s="141" customFormat="1" ht="57">
      <c r="A21" s="115" t="s">
        <v>442</v>
      </c>
      <c r="B21" s="116" t="s">
        <v>418</v>
      </c>
      <c r="C21" s="117" t="s">
        <v>82</v>
      </c>
      <c r="D21" s="118" t="s">
        <v>2129</v>
      </c>
      <c r="E21" s="119">
        <v>360</v>
      </c>
      <c r="F21" s="119">
        <v>381</v>
      </c>
      <c r="G21" s="141" t="s">
        <v>2549</v>
      </c>
      <c r="H21" s="141">
        <v>1511.085458984882</v>
      </c>
      <c r="I21" s="141">
        <v>1506</v>
      </c>
      <c r="J21" s="172">
        <v>0.25</v>
      </c>
      <c r="K21" s="141" t="s">
        <v>2171</v>
      </c>
      <c r="L21" s="141" t="s">
        <v>2197</v>
      </c>
      <c r="M21" s="141" t="s">
        <v>2198</v>
      </c>
      <c r="N21" s="141" t="s">
        <v>2146</v>
      </c>
      <c r="R21" s="141">
        <v>1</v>
      </c>
      <c r="S21" s="143">
        <v>17</v>
      </c>
      <c r="T21" s="143">
        <v>0.01126</v>
      </c>
      <c r="U21" s="143">
        <v>6.033</v>
      </c>
      <c r="V21" s="143">
        <v>0.00399</v>
      </c>
      <c r="W21" s="143">
        <v>1447.0547</v>
      </c>
      <c r="X21" s="143">
        <v>0.95762</v>
      </c>
    </row>
    <row r="22" spans="1:24" s="141" customFormat="1" ht="42.75">
      <c r="A22" s="115" t="s">
        <v>443</v>
      </c>
      <c r="B22" s="116" t="s">
        <v>418</v>
      </c>
      <c r="C22" s="117" t="s">
        <v>83</v>
      </c>
      <c r="D22" s="118" t="s">
        <v>2130</v>
      </c>
      <c r="E22" s="119">
        <v>210</v>
      </c>
      <c r="F22" s="119">
        <v>222</v>
      </c>
      <c r="G22" s="141" t="s">
        <v>2550</v>
      </c>
      <c r="H22" s="141">
        <v>597.0091952828718</v>
      </c>
      <c r="I22" s="141">
        <v>595</v>
      </c>
      <c r="J22" s="172">
        <v>0.25</v>
      </c>
      <c r="K22" s="141" t="s">
        <v>2172</v>
      </c>
      <c r="L22" s="141" t="s">
        <v>2288</v>
      </c>
      <c r="M22" s="141" t="s">
        <v>2199</v>
      </c>
      <c r="N22" s="141" t="s">
        <v>2145</v>
      </c>
      <c r="R22" s="141">
        <v>1</v>
      </c>
      <c r="S22" s="143">
        <v>7.8678</v>
      </c>
      <c r="T22" s="143">
        <v>0.01318</v>
      </c>
      <c r="U22" s="143">
        <v>4.6178</v>
      </c>
      <c r="V22" s="143">
        <v>0.0073</v>
      </c>
      <c r="W22" s="143">
        <v>1175.892</v>
      </c>
      <c r="X22" s="143">
        <v>1.96967</v>
      </c>
    </row>
    <row r="23" spans="1:24" s="141" customFormat="1" ht="30">
      <c r="A23" s="115" t="s">
        <v>444</v>
      </c>
      <c r="B23" s="116" t="s">
        <v>418</v>
      </c>
      <c r="C23" s="117" t="s">
        <v>84</v>
      </c>
      <c r="D23" s="118" t="s">
        <v>2131</v>
      </c>
      <c r="E23" s="119">
        <v>170</v>
      </c>
      <c r="F23" s="119">
        <v>180</v>
      </c>
      <c r="G23" s="141" t="s">
        <v>2551</v>
      </c>
      <c r="H23" s="141">
        <v>1429.811938282508</v>
      </c>
      <c r="I23" s="141">
        <v>1425</v>
      </c>
      <c r="J23" s="172">
        <v>0.25</v>
      </c>
      <c r="K23" s="141" t="s">
        <v>2173</v>
      </c>
      <c r="L23" s="141" t="s">
        <v>2149</v>
      </c>
      <c r="M23" s="141" t="s">
        <v>2148</v>
      </c>
      <c r="N23" s="141" t="s">
        <v>2144</v>
      </c>
      <c r="R23" s="141">
        <v>1</v>
      </c>
      <c r="S23" s="143">
        <v>14.8968</v>
      </c>
      <c r="T23" s="143">
        <v>0.01036</v>
      </c>
      <c r="U23" s="143">
        <v>10.1028</v>
      </c>
      <c r="V23" s="143">
        <v>0.00707</v>
      </c>
      <c r="W23" s="143">
        <v>2259.56</v>
      </c>
      <c r="X23" s="143">
        <v>1.58</v>
      </c>
    </row>
    <row r="24" spans="1:24" s="84" customFormat="1" ht="57">
      <c r="A24" s="95" t="s">
        <v>729</v>
      </c>
      <c r="B24" s="96" t="s">
        <v>418</v>
      </c>
      <c r="C24" s="97" t="s">
        <v>85</v>
      </c>
      <c r="D24" s="98"/>
      <c r="E24" s="99">
        <v>0</v>
      </c>
      <c r="F24" s="99">
        <v>0</v>
      </c>
      <c r="S24" s="130"/>
      <c r="T24" s="130"/>
      <c r="U24" s="130"/>
      <c r="V24" s="130"/>
      <c r="W24" s="130"/>
      <c r="X24" s="130"/>
    </row>
    <row r="25" spans="1:24" s="84" customFormat="1" ht="42.75">
      <c r="A25" s="95" t="s">
        <v>445</v>
      </c>
      <c r="B25" s="96" t="s">
        <v>418</v>
      </c>
      <c r="C25" s="124" t="s">
        <v>86</v>
      </c>
      <c r="D25" s="98"/>
      <c r="E25" s="99">
        <v>0</v>
      </c>
      <c r="F25" s="99">
        <v>0</v>
      </c>
      <c r="S25" s="130"/>
      <c r="T25" s="130"/>
      <c r="U25" s="130"/>
      <c r="V25" s="130"/>
      <c r="W25" s="130"/>
      <c r="X25" s="130"/>
    </row>
    <row r="26" spans="1:24" s="84" customFormat="1" ht="42.75">
      <c r="A26" s="95" t="s">
        <v>446</v>
      </c>
      <c r="B26" s="96" t="s">
        <v>418</v>
      </c>
      <c r="C26" s="124" t="s">
        <v>87</v>
      </c>
      <c r="D26" s="98"/>
      <c r="E26" s="99">
        <v>0</v>
      </c>
      <c r="F26" s="99">
        <v>0</v>
      </c>
      <c r="S26" s="130"/>
      <c r="T26" s="130"/>
      <c r="U26" s="130"/>
      <c r="V26" s="130"/>
      <c r="W26" s="130"/>
      <c r="X26" s="130"/>
    </row>
    <row r="27" spans="1:24" s="84" customFormat="1" ht="42.75">
      <c r="A27" s="95" t="s">
        <v>447</v>
      </c>
      <c r="B27" s="96" t="s">
        <v>418</v>
      </c>
      <c r="C27" s="124" t="s">
        <v>88</v>
      </c>
      <c r="D27" s="98"/>
      <c r="E27" s="99">
        <v>0</v>
      </c>
      <c r="F27" s="99">
        <v>0</v>
      </c>
      <c r="S27" s="130"/>
      <c r="T27" s="130"/>
      <c r="U27" s="130"/>
      <c r="V27" s="130"/>
      <c r="W27" s="130"/>
      <c r="X27" s="130"/>
    </row>
    <row r="28" spans="1:24" s="84" customFormat="1" ht="42.75">
      <c r="A28" s="95" t="s">
        <v>448</v>
      </c>
      <c r="B28" s="96" t="s">
        <v>418</v>
      </c>
      <c r="C28" s="124" t="s">
        <v>89</v>
      </c>
      <c r="D28" s="98"/>
      <c r="E28" s="99">
        <v>0</v>
      </c>
      <c r="F28" s="99">
        <v>0</v>
      </c>
      <c r="S28" s="130"/>
      <c r="T28" s="130"/>
      <c r="U28" s="130"/>
      <c r="V28" s="130"/>
      <c r="W28" s="130"/>
      <c r="X28" s="130"/>
    </row>
    <row r="29" spans="1:24" s="84" customFormat="1" ht="42.75">
      <c r="A29" s="95" t="s">
        <v>449</v>
      </c>
      <c r="B29" s="96" t="s">
        <v>418</v>
      </c>
      <c r="C29" s="124" t="s">
        <v>90</v>
      </c>
      <c r="D29" s="98"/>
      <c r="E29" s="99">
        <v>0</v>
      </c>
      <c r="F29" s="99">
        <v>0</v>
      </c>
      <c r="S29" s="130"/>
      <c r="T29" s="130"/>
      <c r="U29" s="130"/>
      <c r="V29" s="130"/>
      <c r="W29" s="130"/>
      <c r="X29" s="130"/>
    </row>
    <row r="30" spans="1:24" s="84" customFormat="1" ht="42.75">
      <c r="A30" s="95" t="s">
        <v>450</v>
      </c>
      <c r="B30" s="96" t="s">
        <v>418</v>
      </c>
      <c r="C30" s="124" t="s">
        <v>91</v>
      </c>
      <c r="D30" s="98"/>
      <c r="E30" s="99">
        <v>0</v>
      </c>
      <c r="F30" s="99">
        <v>0</v>
      </c>
      <c r="S30" s="130"/>
      <c r="T30" s="130"/>
      <c r="U30" s="130"/>
      <c r="V30" s="130"/>
      <c r="W30" s="130"/>
      <c r="X30" s="130"/>
    </row>
    <row r="31" spans="1:24" s="84" customFormat="1" ht="42.75">
      <c r="A31" s="95" t="s">
        <v>451</v>
      </c>
      <c r="B31" s="96" t="s">
        <v>418</v>
      </c>
      <c r="C31" s="124" t="s">
        <v>92</v>
      </c>
      <c r="D31" s="98"/>
      <c r="E31" s="99">
        <v>0</v>
      </c>
      <c r="F31" s="99">
        <v>0</v>
      </c>
      <c r="S31" s="130"/>
      <c r="T31" s="130"/>
      <c r="U31" s="130"/>
      <c r="V31" s="130"/>
      <c r="W31" s="130"/>
      <c r="X31" s="130"/>
    </row>
    <row r="32" spans="1:24" s="84" customFormat="1" ht="42.75">
      <c r="A32" s="95" t="s">
        <v>452</v>
      </c>
      <c r="B32" s="96" t="s">
        <v>418</v>
      </c>
      <c r="C32" s="124" t="s">
        <v>93</v>
      </c>
      <c r="D32" s="98"/>
      <c r="E32" s="99">
        <v>0</v>
      </c>
      <c r="F32" s="99">
        <v>0</v>
      </c>
      <c r="S32" s="130"/>
      <c r="T32" s="130"/>
      <c r="U32" s="130"/>
      <c r="V32" s="130"/>
      <c r="W32" s="130"/>
      <c r="X32" s="130"/>
    </row>
    <row r="33" spans="1:24" s="84" customFormat="1" ht="42.75">
      <c r="A33" s="95" t="s">
        <v>453</v>
      </c>
      <c r="B33" s="96" t="s">
        <v>418</v>
      </c>
      <c r="C33" s="124" t="s">
        <v>94</v>
      </c>
      <c r="D33" s="98"/>
      <c r="E33" s="99">
        <v>0</v>
      </c>
      <c r="F33" s="99">
        <v>0</v>
      </c>
      <c r="S33" s="130"/>
      <c r="T33" s="130"/>
      <c r="U33" s="130"/>
      <c r="V33" s="130"/>
      <c r="W33" s="130"/>
      <c r="X33" s="130"/>
    </row>
    <row r="34" spans="1:24" s="84" customFormat="1" ht="42.75">
      <c r="A34" s="95" t="s">
        <v>454</v>
      </c>
      <c r="B34" s="96" t="s">
        <v>418</v>
      </c>
      <c r="C34" s="124" t="s">
        <v>95</v>
      </c>
      <c r="D34" s="98"/>
      <c r="E34" s="99">
        <v>0</v>
      </c>
      <c r="F34" s="99">
        <v>0</v>
      </c>
      <c r="S34" s="130"/>
      <c r="T34" s="130"/>
      <c r="U34" s="130"/>
      <c r="V34" s="130"/>
      <c r="W34" s="130"/>
      <c r="X34" s="130"/>
    </row>
    <row r="35" spans="1:24" s="84" customFormat="1" ht="42.75">
      <c r="A35" s="95" t="s">
        <v>455</v>
      </c>
      <c r="B35" s="96" t="s">
        <v>418</v>
      </c>
      <c r="C35" s="124" t="s">
        <v>96</v>
      </c>
      <c r="D35" s="98"/>
      <c r="E35" s="99">
        <v>0</v>
      </c>
      <c r="F35" s="99">
        <v>0</v>
      </c>
      <c r="S35" s="130"/>
      <c r="T35" s="130"/>
      <c r="U35" s="130"/>
      <c r="V35" s="130"/>
      <c r="W35" s="130"/>
      <c r="X35" s="130"/>
    </row>
    <row r="36" spans="1:24" s="84" customFormat="1" ht="57">
      <c r="A36" s="95" t="s">
        <v>456</v>
      </c>
      <c r="B36" s="96" t="s">
        <v>418</v>
      </c>
      <c r="C36" s="124" t="s">
        <v>97</v>
      </c>
      <c r="D36" s="98"/>
      <c r="E36" s="99">
        <v>0</v>
      </c>
      <c r="F36" s="99">
        <v>0</v>
      </c>
      <c r="S36" s="130"/>
      <c r="T36" s="130"/>
      <c r="U36" s="130"/>
      <c r="V36" s="130"/>
      <c r="W36" s="130"/>
      <c r="X36" s="130"/>
    </row>
    <row r="37" spans="1:24" s="84" customFormat="1" ht="28.5">
      <c r="A37" s="95" t="s">
        <v>730</v>
      </c>
      <c r="B37" s="96" t="s">
        <v>418</v>
      </c>
      <c r="C37" s="124" t="s">
        <v>98</v>
      </c>
      <c r="D37" s="98"/>
      <c r="E37" s="99" t="s">
        <v>1689</v>
      </c>
      <c r="F37" s="99" t="s">
        <v>1689</v>
      </c>
      <c r="S37" s="130"/>
      <c r="T37" s="130"/>
      <c r="U37" s="130"/>
      <c r="V37" s="130"/>
      <c r="W37" s="130"/>
      <c r="X37" s="130"/>
    </row>
    <row r="38" spans="1:24" s="168" customFormat="1" ht="42.75">
      <c r="A38" s="163" t="s">
        <v>731</v>
      </c>
      <c r="B38" s="164" t="s">
        <v>418</v>
      </c>
      <c r="C38" s="165" t="s">
        <v>99</v>
      </c>
      <c r="D38" s="166" t="s">
        <v>1909</v>
      </c>
      <c r="E38" s="167">
        <v>4370</v>
      </c>
      <c r="F38" s="167">
        <v>4626</v>
      </c>
      <c r="S38" s="185"/>
      <c r="T38" s="185"/>
      <c r="U38" s="185"/>
      <c r="V38" s="185"/>
      <c r="W38" s="185"/>
      <c r="X38" s="185"/>
    </row>
    <row r="39" spans="1:24" s="84" customFormat="1" ht="28.5">
      <c r="A39" s="95" t="s">
        <v>732</v>
      </c>
      <c r="B39" s="96" t="s">
        <v>418</v>
      </c>
      <c r="C39" s="97" t="s">
        <v>100</v>
      </c>
      <c r="D39" s="98"/>
      <c r="E39" s="99">
        <v>4270</v>
      </c>
      <c r="F39" s="99">
        <v>4520</v>
      </c>
      <c r="S39" s="130"/>
      <c r="T39" s="130"/>
      <c r="U39" s="130"/>
      <c r="V39" s="130"/>
      <c r="W39" s="130"/>
      <c r="X39" s="130"/>
    </row>
    <row r="40" spans="1:24" s="84" customFormat="1" ht="30">
      <c r="A40" s="95" t="s">
        <v>457</v>
      </c>
      <c r="B40" s="96" t="s">
        <v>418</v>
      </c>
      <c r="C40" s="124" t="s">
        <v>101</v>
      </c>
      <c r="D40" s="98"/>
      <c r="E40" s="99" t="s">
        <v>1689</v>
      </c>
      <c r="F40" s="99" t="s">
        <v>1689</v>
      </c>
      <c r="S40" s="130"/>
      <c r="T40" s="130"/>
      <c r="U40" s="130"/>
      <c r="V40" s="130"/>
      <c r="W40" s="130"/>
      <c r="X40" s="130"/>
    </row>
    <row r="41" spans="1:24" s="84" customFormat="1" ht="30">
      <c r="A41" s="95" t="s">
        <v>458</v>
      </c>
      <c r="B41" s="96" t="s">
        <v>418</v>
      </c>
      <c r="C41" s="124" t="s">
        <v>102</v>
      </c>
      <c r="D41" s="98"/>
      <c r="E41" s="99" t="s">
        <v>1689</v>
      </c>
      <c r="F41" s="99" t="s">
        <v>1689</v>
      </c>
      <c r="S41" s="130"/>
      <c r="T41" s="130"/>
      <c r="U41" s="130"/>
      <c r="V41" s="130"/>
      <c r="W41" s="130"/>
      <c r="X41" s="130"/>
    </row>
    <row r="42" spans="1:24" s="84" customFormat="1" ht="30">
      <c r="A42" s="95" t="s">
        <v>459</v>
      </c>
      <c r="B42" s="96" t="s">
        <v>418</v>
      </c>
      <c r="C42" s="124" t="s">
        <v>1289</v>
      </c>
      <c r="D42" s="98"/>
      <c r="E42" s="99" t="s">
        <v>1689</v>
      </c>
      <c r="F42" s="99" t="s">
        <v>1689</v>
      </c>
      <c r="S42" s="130"/>
      <c r="T42" s="130"/>
      <c r="U42" s="130"/>
      <c r="V42" s="130"/>
      <c r="W42" s="130"/>
      <c r="X42" s="130"/>
    </row>
    <row r="43" spans="1:24" s="141" customFormat="1" ht="30">
      <c r="A43" s="115" t="s">
        <v>460</v>
      </c>
      <c r="B43" s="116" t="s">
        <v>418</v>
      </c>
      <c r="C43" s="117" t="s">
        <v>1290</v>
      </c>
      <c r="D43" s="118" t="s">
        <v>2132</v>
      </c>
      <c r="E43" s="119">
        <v>280</v>
      </c>
      <c r="F43" s="119">
        <v>296</v>
      </c>
      <c r="G43" s="141" t="s">
        <v>2552</v>
      </c>
      <c r="H43" s="141">
        <v>3167.660553795002</v>
      </c>
      <c r="I43" s="141">
        <v>3157</v>
      </c>
      <c r="J43" s="172">
        <v>0.25</v>
      </c>
      <c r="K43" s="141" t="s">
        <v>2163</v>
      </c>
      <c r="L43" s="141" t="s">
        <v>2200</v>
      </c>
      <c r="M43" s="141" t="s">
        <v>2201</v>
      </c>
      <c r="N43" s="141" t="s">
        <v>2145</v>
      </c>
      <c r="O43" s="141" t="s">
        <v>413</v>
      </c>
      <c r="Q43" s="141" t="s">
        <v>413</v>
      </c>
      <c r="R43" s="141">
        <v>1</v>
      </c>
      <c r="S43" s="143">
        <v>36.772</v>
      </c>
      <c r="T43" s="143">
        <v>0.01161</v>
      </c>
      <c r="U43" s="143">
        <v>2.1113</v>
      </c>
      <c r="V43" s="143">
        <v>0.00067</v>
      </c>
      <c r="W43" s="143">
        <v>779.8102</v>
      </c>
      <c r="X43" s="143">
        <v>0.24623</v>
      </c>
    </row>
    <row r="44" spans="1:24" s="84" customFormat="1" ht="30">
      <c r="A44" s="95" t="s">
        <v>461</v>
      </c>
      <c r="B44" s="96" t="s">
        <v>418</v>
      </c>
      <c r="C44" s="124" t="s">
        <v>1291</v>
      </c>
      <c r="D44" s="98"/>
      <c r="E44" s="99" t="s">
        <v>1689</v>
      </c>
      <c r="F44" s="99" t="s">
        <v>1689</v>
      </c>
      <c r="S44" s="130"/>
      <c r="T44" s="130"/>
      <c r="U44" s="130"/>
      <c r="V44" s="130"/>
      <c r="W44" s="130"/>
      <c r="X44" s="130"/>
    </row>
    <row r="45" spans="1:24" s="144" customFormat="1" ht="30">
      <c r="A45" s="95" t="s">
        <v>462</v>
      </c>
      <c r="B45" s="169" t="s">
        <v>418</v>
      </c>
      <c r="C45" s="97" t="s">
        <v>1292</v>
      </c>
      <c r="D45" s="170"/>
      <c r="E45" s="171">
        <v>0</v>
      </c>
      <c r="F45" s="171">
        <v>0</v>
      </c>
      <c r="S45" s="186"/>
      <c r="T45" s="186"/>
      <c r="U45" s="186"/>
      <c r="V45" s="186"/>
      <c r="W45" s="186"/>
      <c r="X45" s="186"/>
    </row>
    <row r="46" spans="1:24" s="141" customFormat="1" ht="30">
      <c r="A46" s="115" t="s">
        <v>463</v>
      </c>
      <c r="B46" s="116" t="s">
        <v>418</v>
      </c>
      <c r="C46" s="117" t="s">
        <v>1293</v>
      </c>
      <c r="D46" s="118" t="s">
        <v>2133</v>
      </c>
      <c r="E46" s="119">
        <v>110</v>
      </c>
      <c r="F46" s="119">
        <v>116</v>
      </c>
      <c r="G46" s="141" t="s">
        <v>2553</v>
      </c>
      <c r="H46" s="141">
        <v>2564.6310977193616</v>
      </c>
      <c r="I46" s="141">
        <v>2556</v>
      </c>
      <c r="J46" s="172">
        <v>0.25</v>
      </c>
      <c r="K46" s="141" t="s">
        <v>2164</v>
      </c>
      <c r="L46" s="141" t="s">
        <v>2202</v>
      </c>
      <c r="M46" s="141" t="s">
        <v>2203</v>
      </c>
      <c r="N46" s="141" t="s">
        <v>2145</v>
      </c>
      <c r="R46" s="141">
        <v>1</v>
      </c>
      <c r="S46" s="143">
        <v>24.1941</v>
      </c>
      <c r="T46" s="143">
        <v>0.00943</v>
      </c>
      <c r="U46" s="143">
        <v>2.847</v>
      </c>
      <c r="V46" s="143">
        <v>0.0011</v>
      </c>
      <c r="W46" s="143">
        <v>900.3697</v>
      </c>
      <c r="X46" s="143">
        <v>0.35107</v>
      </c>
    </row>
    <row r="47" spans="1:24" s="141" customFormat="1" ht="42.75">
      <c r="A47" s="115" t="s">
        <v>464</v>
      </c>
      <c r="B47" s="116" t="s">
        <v>418</v>
      </c>
      <c r="C47" s="117" t="s">
        <v>1294</v>
      </c>
      <c r="D47" s="118" t="s">
        <v>2125</v>
      </c>
      <c r="E47" s="119">
        <v>370</v>
      </c>
      <c r="F47" s="119">
        <v>392</v>
      </c>
      <c r="G47" s="141" t="s">
        <v>2554</v>
      </c>
      <c r="H47" s="141">
        <v>2587.708764091641</v>
      </c>
      <c r="I47" s="141">
        <v>2579</v>
      </c>
      <c r="J47" s="172">
        <v>0.25</v>
      </c>
      <c r="K47" s="141" t="s">
        <v>2165</v>
      </c>
      <c r="L47" s="141" t="s">
        <v>2151</v>
      </c>
      <c r="M47" s="141" t="s">
        <v>2150</v>
      </c>
      <c r="N47" s="141" t="s">
        <v>2144</v>
      </c>
      <c r="R47" s="141">
        <v>1</v>
      </c>
      <c r="S47" s="143">
        <v>17.421</v>
      </c>
      <c r="T47" s="143">
        <v>0.00673</v>
      </c>
      <c r="U47" s="143">
        <v>10.6186</v>
      </c>
      <c r="V47" s="143">
        <v>0.0041</v>
      </c>
      <c r="W47" s="143">
        <v>2324.1191</v>
      </c>
      <c r="X47" s="143">
        <v>0.89814</v>
      </c>
    </row>
    <row r="48" spans="1:24" s="141" customFormat="1" ht="30">
      <c r="A48" s="115" t="s">
        <v>465</v>
      </c>
      <c r="B48" s="116" t="s">
        <v>418</v>
      </c>
      <c r="C48" s="117" t="s">
        <v>1295</v>
      </c>
      <c r="D48" s="118" t="s">
        <v>2126</v>
      </c>
      <c r="E48" s="119">
        <v>330</v>
      </c>
      <c r="F48" s="119">
        <v>349</v>
      </c>
      <c r="G48" s="141" t="s">
        <v>2555</v>
      </c>
      <c r="H48" s="141">
        <v>1157.8968258091327</v>
      </c>
      <c r="I48" s="141">
        <v>1154</v>
      </c>
      <c r="J48" s="172">
        <v>0.25</v>
      </c>
      <c r="K48" s="141" t="s">
        <v>2391</v>
      </c>
      <c r="L48" s="141" t="s">
        <v>2153</v>
      </c>
      <c r="M48" s="141" t="s">
        <v>2152</v>
      </c>
      <c r="N48" s="141" t="s">
        <v>2145</v>
      </c>
      <c r="R48" s="141">
        <v>1</v>
      </c>
      <c r="S48" s="143">
        <v>19.568</v>
      </c>
      <c r="T48" s="143">
        <v>0.0169</v>
      </c>
      <c r="U48" s="143">
        <v>19.9675</v>
      </c>
      <c r="V48" s="143">
        <v>0.01724</v>
      </c>
      <c r="W48" s="143">
        <v>3078.4349</v>
      </c>
      <c r="X48" s="143">
        <v>2.65866</v>
      </c>
    </row>
    <row r="49" spans="1:24" s="141" customFormat="1" ht="42.75">
      <c r="A49" s="115" t="s">
        <v>466</v>
      </c>
      <c r="B49" s="116" t="s">
        <v>418</v>
      </c>
      <c r="C49" s="117" t="s">
        <v>1296</v>
      </c>
      <c r="D49" s="118"/>
      <c r="E49" s="119">
        <v>200</v>
      </c>
      <c r="F49" s="119">
        <v>212</v>
      </c>
      <c r="G49" s="141" t="s">
        <v>2556</v>
      </c>
      <c r="H49" s="141">
        <v>2044.881915943685</v>
      </c>
      <c r="I49" s="141">
        <v>2038</v>
      </c>
      <c r="J49" s="172">
        <v>0.25</v>
      </c>
      <c r="K49" s="141" t="s">
        <v>2166</v>
      </c>
      <c r="L49" s="141" t="s">
        <v>2285</v>
      </c>
      <c r="M49" s="141" t="s">
        <v>2154</v>
      </c>
      <c r="N49" s="141" t="s">
        <v>2145</v>
      </c>
      <c r="R49" s="141">
        <v>1</v>
      </c>
      <c r="S49" s="143">
        <v>17.9317</v>
      </c>
      <c r="T49" s="143">
        <v>0.00877</v>
      </c>
      <c r="U49" s="143">
        <v>0.1026</v>
      </c>
      <c r="V49" s="143">
        <v>5E-05</v>
      </c>
      <c r="W49" s="143">
        <v>291.5532</v>
      </c>
      <c r="X49" s="143">
        <v>0.14258</v>
      </c>
    </row>
    <row r="50" spans="1:24" s="84" customFormat="1" ht="57">
      <c r="A50" s="95" t="s">
        <v>467</v>
      </c>
      <c r="B50" s="96" t="s">
        <v>418</v>
      </c>
      <c r="C50" s="124" t="s">
        <v>1297</v>
      </c>
      <c r="D50" s="98"/>
      <c r="E50" s="99" t="s">
        <v>1689</v>
      </c>
      <c r="F50" s="99" t="s">
        <v>1689</v>
      </c>
      <c r="L50" s="144"/>
      <c r="S50" s="130"/>
      <c r="T50" s="130"/>
      <c r="U50" s="130"/>
      <c r="V50" s="130"/>
      <c r="W50" s="130"/>
      <c r="X50" s="130"/>
    </row>
    <row r="51" spans="1:24" s="141" customFormat="1" ht="30">
      <c r="A51" s="115" t="s">
        <v>468</v>
      </c>
      <c r="B51" s="116" t="s">
        <v>418</v>
      </c>
      <c r="C51" s="117" t="s">
        <v>1298</v>
      </c>
      <c r="D51" s="118" t="s">
        <v>2134</v>
      </c>
      <c r="E51" s="119">
        <v>270</v>
      </c>
      <c r="F51" s="119">
        <v>286</v>
      </c>
      <c r="G51" s="141" t="s">
        <v>2557</v>
      </c>
      <c r="H51" s="141">
        <v>3031.2013091589174</v>
      </c>
      <c r="I51" s="141">
        <v>3021</v>
      </c>
      <c r="J51" s="172">
        <v>0.25</v>
      </c>
      <c r="K51" s="141" t="s">
        <v>2167</v>
      </c>
      <c r="L51" s="141" t="s">
        <v>2204</v>
      </c>
      <c r="M51" s="141" t="s">
        <v>2205</v>
      </c>
      <c r="N51" s="141" t="s">
        <v>2146</v>
      </c>
      <c r="R51" s="141">
        <v>1</v>
      </c>
      <c r="S51" s="143">
        <v>21.6213</v>
      </c>
      <c r="T51" s="143">
        <v>0.00713</v>
      </c>
      <c r="U51" s="143">
        <v>7.1475</v>
      </c>
      <c r="V51" s="143">
        <v>0.00236</v>
      </c>
      <c r="W51" s="143">
        <v>1601.2575</v>
      </c>
      <c r="X51" s="143">
        <v>0.52826</v>
      </c>
    </row>
    <row r="52" spans="1:24" s="84" customFormat="1" ht="30">
      <c r="A52" s="95" t="s">
        <v>469</v>
      </c>
      <c r="B52" s="96" t="s">
        <v>418</v>
      </c>
      <c r="C52" s="124" t="s">
        <v>1299</v>
      </c>
      <c r="D52" s="98"/>
      <c r="E52" s="99" t="s">
        <v>1689</v>
      </c>
      <c r="F52" s="99" t="s">
        <v>1689</v>
      </c>
      <c r="S52" s="130"/>
      <c r="T52" s="130"/>
      <c r="U52" s="130"/>
      <c r="V52" s="130"/>
      <c r="W52" s="130"/>
      <c r="X52" s="130"/>
    </row>
    <row r="53" spans="1:24" s="141" customFormat="1" ht="57">
      <c r="A53" s="115" t="s">
        <v>470</v>
      </c>
      <c r="B53" s="116" t="s">
        <v>418</v>
      </c>
      <c r="C53" s="117" t="s">
        <v>103</v>
      </c>
      <c r="D53" s="118" t="s">
        <v>2129</v>
      </c>
      <c r="E53" s="119">
        <v>840</v>
      </c>
      <c r="F53" s="119">
        <v>889</v>
      </c>
      <c r="G53" s="141" t="s">
        <v>2558</v>
      </c>
      <c r="H53" s="141">
        <v>1681.6595147799883</v>
      </c>
      <c r="I53" s="141">
        <v>1676</v>
      </c>
      <c r="J53" s="172">
        <v>0.25</v>
      </c>
      <c r="K53" s="141" t="s">
        <v>2168</v>
      </c>
      <c r="L53" s="141" t="s">
        <v>2206</v>
      </c>
      <c r="M53" s="141" t="s">
        <v>2207</v>
      </c>
      <c r="N53" s="141" t="s">
        <v>2146</v>
      </c>
      <c r="R53" s="141">
        <v>1</v>
      </c>
      <c r="S53" s="143">
        <v>12.0818</v>
      </c>
      <c r="T53" s="143">
        <v>0.00718</v>
      </c>
      <c r="U53" s="143">
        <v>5.8332</v>
      </c>
      <c r="V53" s="143">
        <v>0.00347</v>
      </c>
      <c r="W53" s="143">
        <v>1288.5751</v>
      </c>
      <c r="X53" s="143">
        <v>0.76626</v>
      </c>
    </row>
    <row r="54" spans="1:24" s="141" customFormat="1" ht="42.75">
      <c r="A54" s="115" t="s">
        <v>471</v>
      </c>
      <c r="B54" s="116" t="s">
        <v>418</v>
      </c>
      <c r="C54" s="117" t="s">
        <v>104</v>
      </c>
      <c r="D54" s="118"/>
      <c r="E54" s="119">
        <v>740</v>
      </c>
      <c r="F54" s="119">
        <v>783</v>
      </c>
      <c r="G54" s="141" t="s">
        <v>2559</v>
      </c>
      <c r="H54" s="141">
        <v>1368.6059535560287</v>
      </c>
      <c r="I54" s="141">
        <v>1364</v>
      </c>
      <c r="J54" s="172">
        <v>0.25</v>
      </c>
      <c r="K54" s="141" t="s">
        <v>2169</v>
      </c>
      <c r="L54" s="141" t="s">
        <v>2286</v>
      </c>
      <c r="M54" s="141" t="s">
        <v>2208</v>
      </c>
      <c r="N54" s="141" t="s">
        <v>2145</v>
      </c>
      <c r="R54" s="141">
        <v>1</v>
      </c>
      <c r="S54" s="143">
        <v>11.1538</v>
      </c>
      <c r="T54" s="143">
        <v>0.00815</v>
      </c>
      <c r="U54" s="143">
        <v>4.838</v>
      </c>
      <c r="V54" s="143">
        <v>0.00353</v>
      </c>
      <c r="W54" s="143">
        <v>1199.9672</v>
      </c>
      <c r="X54" s="143">
        <v>0.87678</v>
      </c>
    </row>
    <row r="55" spans="1:24" s="141" customFormat="1" ht="30">
      <c r="A55" s="115" t="s">
        <v>472</v>
      </c>
      <c r="B55" s="116" t="s">
        <v>418</v>
      </c>
      <c r="C55" s="117" t="s">
        <v>105</v>
      </c>
      <c r="D55" s="118" t="s">
        <v>2131</v>
      </c>
      <c r="E55" s="119">
        <v>260</v>
      </c>
      <c r="F55" s="119">
        <v>275</v>
      </c>
      <c r="G55" s="141" t="s">
        <v>2560</v>
      </c>
      <c r="H55" s="141">
        <v>1143.8495506260062</v>
      </c>
      <c r="I55" s="141">
        <v>1140</v>
      </c>
      <c r="J55" s="172">
        <v>0.25</v>
      </c>
      <c r="K55" s="141" t="str">
        <f>K47</f>
        <v>Average weight 0,425 kg</v>
      </c>
      <c r="L55" s="141" t="s">
        <v>2155</v>
      </c>
      <c r="M55" s="141" t="s">
        <v>2156</v>
      </c>
      <c r="N55" s="141" t="s">
        <v>2144</v>
      </c>
      <c r="R55" s="141">
        <v>1</v>
      </c>
      <c r="S55" s="143">
        <v>9.4476</v>
      </c>
      <c r="T55" s="143">
        <v>0.00826</v>
      </c>
      <c r="U55" s="143">
        <v>9.7243</v>
      </c>
      <c r="V55" s="143">
        <v>0.0085</v>
      </c>
      <c r="W55" s="143">
        <v>2261.6239</v>
      </c>
      <c r="X55" s="143">
        <v>1.9772</v>
      </c>
    </row>
    <row r="56" spans="1:24" s="84" customFormat="1" ht="42.75">
      <c r="A56" s="95" t="s">
        <v>733</v>
      </c>
      <c r="B56" s="96" t="s">
        <v>418</v>
      </c>
      <c r="C56" s="124" t="s">
        <v>106</v>
      </c>
      <c r="D56" s="98"/>
      <c r="E56" s="99" t="s">
        <v>1689</v>
      </c>
      <c r="F56" s="99" t="s">
        <v>1689</v>
      </c>
      <c r="S56" s="130"/>
      <c r="T56" s="130"/>
      <c r="U56" s="130"/>
      <c r="V56" s="130"/>
      <c r="W56" s="130"/>
      <c r="X56" s="130"/>
    </row>
    <row r="57" spans="1:24" s="84" customFormat="1" ht="42.75">
      <c r="A57" s="95" t="s">
        <v>473</v>
      </c>
      <c r="B57" s="96" t="s">
        <v>418</v>
      </c>
      <c r="C57" s="124" t="s">
        <v>107</v>
      </c>
      <c r="D57" s="98"/>
      <c r="E57" s="99">
        <v>0</v>
      </c>
      <c r="F57" s="99">
        <v>0</v>
      </c>
      <c r="S57" s="130"/>
      <c r="T57" s="130"/>
      <c r="U57" s="130"/>
      <c r="V57" s="130"/>
      <c r="W57" s="130"/>
      <c r="X57" s="130"/>
    </row>
    <row r="58" spans="1:24" s="84" customFormat="1" ht="42.75">
      <c r="A58" s="95" t="s">
        <v>474</v>
      </c>
      <c r="B58" s="96" t="s">
        <v>418</v>
      </c>
      <c r="C58" s="124" t="s">
        <v>108</v>
      </c>
      <c r="D58" s="98"/>
      <c r="E58" s="99">
        <v>0</v>
      </c>
      <c r="F58" s="99">
        <v>0</v>
      </c>
      <c r="S58" s="130"/>
      <c r="T58" s="130"/>
      <c r="U58" s="130"/>
      <c r="V58" s="130"/>
      <c r="W58" s="130"/>
      <c r="X58" s="130"/>
    </row>
    <row r="59" spans="1:24" s="84" customFormat="1" ht="42.75">
      <c r="A59" s="95" t="s">
        <v>475</v>
      </c>
      <c r="B59" s="96" t="s">
        <v>418</v>
      </c>
      <c r="C59" s="124" t="s">
        <v>109</v>
      </c>
      <c r="D59" s="98"/>
      <c r="E59" s="99">
        <v>0</v>
      </c>
      <c r="F59" s="99">
        <v>0</v>
      </c>
      <c r="S59" s="130"/>
      <c r="T59" s="130"/>
      <c r="U59" s="130"/>
      <c r="V59" s="130"/>
      <c r="W59" s="130"/>
      <c r="X59" s="130"/>
    </row>
    <row r="60" spans="1:24" s="84" customFormat="1" ht="42.75">
      <c r="A60" s="95" t="s">
        <v>476</v>
      </c>
      <c r="B60" s="169" t="s">
        <v>418</v>
      </c>
      <c r="C60" s="124" t="s">
        <v>110</v>
      </c>
      <c r="D60" s="98"/>
      <c r="E60" s="99" t="s">
        <v>1689</v>
      </c>
      <c r="F60" s="99" t="s">
        <v>1689</v>
      </c>
      <c r="S60" s="130"/>
      <c r="T60" s="130"/>
      <c r="U60" s="130"/>
      <c r="V60" s="130"/>
      <c r="W60" s="130"/>
      <c r="X60" s="130"/>
    </row>
    <row r="61" spans="1:24" s="84" customFormat="1" ht="42.75">
      <c r="A61" s="95" t="s">
        <v>477</v>
      </c>
      <c r="B61" s="96" t="s">
        <v>418</v>
      </c>
      <c r="C61" s="124" t="s">
        <v>111</v>
      </c>
      <c r="D61" s="98"/>
      <c r="E61" s="99">
        <v>0</v>
      </c>
      <c r="F61" s="99">
        <v>0</v>
      </c>
      <c r="S61" s="130"/>
      <c r="T61" s="130"/>
      <c r="U61" s="130"/>
      <c r="V61" s="130"/>
      <c r="W61" s="130"/>
      <c r="X61" s="130"/>
    </row>
    <row r="62" spans="1:24" s="84" customFormat="1" ht="42.75">
      <c r="A62" s="95" t="s">
        <v>478</v>
      </c>
      <c r="B62" s="96" t="s">
        <v>418</v>
      </c>
      <c r="C62" s="124" t="s">
        <v>112</v>
      </c>
      <c r="D62" s="98"/>
      <c r="E62" s="99">
        <v>0</v>
      </c>
      <c r="F62" s="99">
        <v>0</v>
      </c>
      <c r="S62" s="130"/>
      <c r="T62" s="130"/>
      <c r="U62" s="130"/>
      <c r="V62" s="130"/>
      <c r="W62" s="130"/>
      <c r="X62" s="130"/>
    </row>
    <row r="63" spans="1:24" s="84" customFormat="1" ht="42.75">
      <c r="A63" s="95" t="s">
        <v>479</v>
      </c>
      <c r="B63" s="96" t="s">
        <v>418</v>
      </c>
      <c r="C63" s="124" t="s">
        <v>113</v>
      </c>
      <c r="D63" s="98"/>
      <c r="E63" s="99">
        <v>0</v>
      </c>
      <c r="F63" s="99">
        <v>0</v>
      </c>
      <c r="S63" s="130"/>
      <c r="T63" s="130"/>
      <c r="U63" s="130"/>
      <c r="V63" s="130"/>
      <c r="W63" s="130"/>
      <c r="X63" s="130"/>
    </row>
    <row r="64" spans="1:24" s="84" customFormat="1" ht="42.75">
      <c r="A64" s="95" t="s">
        <v>480</v>
      </c>
      <c r="B64" s="96" t="s">
        <v>418</v>
      </c>
      <c r="C64" s="124" t="s">
        <v>114</v>
      </c>
      <c r="D64" s="98"/>
      <c r="E64" s="99">
        <v>0</v>
      </c>
      <c r="F64" s="99">
        <v>0</v>
      </c>
      <c r="S64" s="130"/>
      <c r="T64" s="130"/>
      <c r="U64" s="130"/>
      <c r="V64" s="130"/>
      <c r="W64" s="130"/>
      <c r="X64" s="130"/>
    </row>
    <row r="65" spans="1:24" s="84" customFormat="1" ht="42.75">
      <c r="A65" s="95" t="s">
        <v>481</v>
      </c>
      <c r="B65" s="96" t="s">
        <v>418</v>
      </c>
      <c r="C65" s="124" t="s">
        <v>115</v>
      </c>
      <c r="D65" s="98"/>
      <c r="E65" s="99" t="s">
        <v>1689</v>
      </c>
      <c r="F65" s="99" t="s">
        <v>1689</v>
      </c>
      <c r="S65" s="130"/>
      <c r="T65" s="130"/>
      <c r="U65" s="130"/>
      <c r="V65" s="130"/>
      <c r="W65" s="130"/>
      <c r="X65" s="130"/>
    </row>
    <row r="66" spans="1:24" s="84" customFormat="1" ht="42.75">
      <c r="A66" s="95" t="s">
        <v>482</v>
      </c>
      <c r="B66" s="96" t="s">
        <v>418</v>
      </c>
      <c r="C66" s="124" t="s">
        <v>116</v>
      </c>
      <c r="D66" s="98"/>
      <c r="E66" s="99">
        <v>0</v>
      </c>
      <c r="F66" s="99">
        <v>0</v>
      </c>
      <c r="S66" s="130"/>
      <c r="T66" s="130"/>
      <c r="U66" s="130"/>
      <c r="V66" s="130"/>
      <c r="W66" s="130"/>
      <c r="X66" s="130"/>
    </row>
    <row r="67" spans="1:24" s="84" customFormat="1" ht="42.75">
      <c r="A67" s="95" t="s">
        <v>483</v>
      </c>
      <c r="B67" s="96" t="s">
        <v>418</v>
      </c>
      <c r="C67" s="124" t="s">
        <v>117</v>
      </c>
      <c r="D67" s="98"/>
      <c r="E67" s="99">
        <v>0</v>
      </c>
      <c r="F67" s="99">
        <v>0</v>
      </c>
      <c r="S67" s="130"/>
      <c r="T67" s="130"/>
      <c r="U67" s="130"/>
      <c r="V67" s="130"/>
      <c r="W67" s="130"/>
      <c r="X67" s="130"/>
    </row>
    <row r="68" spans="1:24" s="84" customFormat="1" ht="57">
      <c r="A68" s="95" t="s">
        <v>484</v>
      </c>
      <c r="B68" s="96" t="s">
        <v>418</v>
      </c>
      <c r="C68" s="124" t="s">
        <v>118</v>
      </c>
      <c r="D68" s="98"/>
      <c r="E68" s="99">
        <v>0</v>
      </c>
      <c r="F68" s="99">
        <v>0</v>
      </c>
      <c r="S68" s="130"/>
      <c r="T68" s="130"/>
      <c r="U68" s="130"/>
      <c r="V68" s="130"/>
      <c r="W68" s="130"/>
      <c r="X68" s="130"/>
    </row>
    <row r="69" spans="1:24" s="84" customFormat="1" ht="28.5">
      <c r="A69" s="95" t="s">
        <v>734</v>
      </c>
      <c r="B69" s="96" t="s">
        <v>418</v>
      </c>
      <c r="C69" s="124" t="s">
        <v>119</v>
      </c>
      <c r="D69" s="98"/>
      <c r="E69" s="99" t="s">
        <v>1689</v>
      </c>
      <c r="F69" s="99" t="s">
        <v>1689</v>
      </c>
      <c r="S69" s="130"/>
      <c r="T69" s="130"/>
      <c r="U69" s="130"/>
      <c r="V69" s="130"/>
      <c r="W69" s="130"/>
      <c r="X69" s="130"/>
    </row>
    <row r="70" spans="1:24" s="168" customFormat="1" ht="71.25">
      <c r="A70" s="163" t="s">
        <v>735</v>
      </c>
      <c r="B70" s="164" t="s">
        <v>418</v>
      </c>
      <c r="C70" s="165" t="s">
        <v>120</v>
      </c>
      <c r="D70" s="166" t="s">
        <v>1911</v>
      </c>
      <c r="E70" s="167">
        <v>1010</v>
      </c>
      <c r="F70" s="167">
        <v>1069</v>
      </c>
      <c r="S70" s="185"/>
      <c r="T70" s="185"/>
      <c r="U70" s="185"/>
      <c r="V70" s="185"/>
      <c r="W70" s="185"/>
      <c r="X70" s="185"/>
    </row>
    <row r="71" spans="1:24" s="84" customFormat="1" ht="28.5">
      <c r="A71" s="95" t="s">
        <v>736</v>
      </c>
      <c r="B71" s="96" t="s">
        <v>418</v>
      </c>
      <c r="C71" s="124" t="s">
        <v>121</v>
      </c>
      <c r="D71" s="98"/>
      <c r="E71" s="99">
        <v>980</v>
      </c>
      <c r="F71" s="99">
        <v>1037</v>
      </c>
      <c r="S71" s="130"/>
      <c r="T71" s="130"/>
      <c r="U71" s="130"/>
      <c r="V71" s="130"/>
      <c r="W71" s="130"/>
      <c r="X71" s="130"/>
    </row>
    <row r="72" spans="1:24" s="84" customFormat="1" ht="30">
      <c r="A72" s="95" t="s">
        <v>485</v>
      </c>
      <c r="B72" s="96" t="s">
        <v>418</v>
      </c>
      <c r="C72" s="124" t="s">
        <v>122</v>
      </c>
      <c r="D72" s="98"/>
      <c r="E72" s="99">
        <v>0</v>
      </c>
      <c r="F72" s="99">
        <v>0</v>
      </c>
      <c r="S72" s="130"/>
      <c r="T72" s="130"/>
      <c r="U72" s="130"/>
      <c r="V72" s="130"/>
      <c r="W72" s="130"/>
      <c r="X72" s="130"/>
    </row>
    <row r="73" spans="1:24" s="84" customFormat="1" ht="30">
      <c r="A73" s="95" t="s">
        <v>486</v>
      </c>
      <c r="B73" s="96" t="s">
        <v>418</v>
      </c>
      <c r="C73" s="124" t="s">
        <v>123</v>
      </c>
      <c r="D73" s="98"/>
      <c r="E73" s="99">
        <v>0</v>
      </c>
      <c r="F73" s="99">
        <v>0</v>
      </c>
      <c r="S73" s="130"/>
      <c r="T73" s="130"/>
      <c r="U73" s="130"/>
      <c r="V73" s="130"/>
      <c r="W73" s="130"/>
      <c r="X73" s="130"/>
    </row>
    <row r="74" spans="1:24" s="84" customFormat="1" ht="30">
      <c r="A74" s="95" t="s">
        <v>487</v>
      </c>
      <c r="B74" s="96" t="s">
        <v>418</v>
      </c>
      <c r="C74" s="124" t="s">
        <v>124</v>
      </c>
      <c r="D74" s="98"/>
      <c r="E74" s="99">
        <v>0</v>
      </c>
      <c r="F74" s="99">
        <v>0</v>
      </c>
      <c r="S74" s="130"/>
      <c r="T74" s="130"/>
      <c r="U74" s="130"/>
      <c r="V74" s="130"/>
      <c r="W74" s="130"/>
      <c r="X74" s="130"/>
    </row>
    <row r="75" spans="1:24" s="84" customFormat="1" ht="30">
      <c r="A75" s="95" t="s">
        <v>488</v>
      </c>
      <c r="B75" s="96" t="s">
        <v>418</v>
      </c>
      <c r="C75" s="124" t="s">
        <v>125</v>
      </c>
      <c r="D75" s="98"/>
      <c r="E75" s="99" t="s">
        <v>1689</v>
      </c>
      <c r="F75" s="99" t="s">
        <v>1689</v>
      </c>
      <c r="S75" s="130"/>
      <c r="T75" s="130"/>
      <c r="U75" s="130"/>
      <c r="V75" s="130"/>
      <c r="W75" s="130"/>
      <c r="X75" s="130"/>
    </row>
    <row r="76" spans="1:24" s="84" customFormat="1" ht="30">
      <c r="A76" s="95" t="s">
        <v>489</v>
      </c>
      <c r="B76" s="96" t="s">
        <v>418</v>
      </c>
      <c r="C76" s="124" t="s">
        <v>126</v>
      </c>
      <c r="D76" s="98"/>
      <c r="E76" s="99" t="s">
        <v>1689</v>
      </c>
      <c r="F76" s="99" t="s">
        <v>1689</v>
      </c>
      <c r="S76" s="130"/>
      <c r="T76" s="130"/>
      <c r="U76" s="130"/>
      <c r="V76" s="130"/>
      <c r="W76" s="130"/>
      <c r="X76" s="130"/>
    </row>
    <row r="77" spans="1:24" s="84" customFormat="1" ht="30">
      <c r="A77" s="95" t="s">
        <v>490</v>
      </c>
      <c r="B77" s="96" t="s">
        <v>418</v>
      </c>
      <c r="C77" s="124" t="s">
        <v>127</v>
      </c>
      <c r="D77" s="98"/>
      <c r="E77" s="99">
        <v>0</v>
      </c>
      <c r="F77" s="99">
        <v>0</v>
      </c>
      <c r="S77" s="130"/>
      <c r="T77" s="130"/>
      <c r="U77" s="130"/>
      <c r="V77" s="130"/>
      <c r="W77" s="130"/>
      <c r="X77" s="130"/>
    </row>
    <row r="78" spans="1:24" s="84" customFormat="1" ht="30">
      <c r="A78" s="95" t="s">
        <v>491</v>
      </c>
      <c r="B78" s="96" t="s">
        <v>418</v>
      </c>
      <c r="C78" s="124" t="s">
        <v>128</v>
      </c>
      <c r="D78" s="98"/>
      <c r="E78" s="99" t="s">
        <v>1689</v>
      </c>
      <c r="F78" s="99" t="s">
        <v>1689</v>
      </c>
      <c r="S78" s="130"/>
      <c r="T78" s="130"/>
      <c r="U78" s="130"/>
      <c r="V78" s="130"/>
      <c r="W78" s="130"/>
      <c r="X78" s="130"/>
    </row>
    <row r="79" spans="1:24" s="141" customFormat="1" ht="42.75">
      <c r="A79" s="115" t="s">
        <v>492</v>
      </c>
      <c r="B79" s="116" t="s">
        <v>418</v>
      </c>
      <c r="C79" s="117" t="s">
        <v>129</v>
      </c>
      <c r="D79" s="118"/>
      <c r="E79" s="119">
        <v>110</v>
      </c>
      <c r="F79" s="119">
        <v>116</v>
      </c>
      <c r="G79" s="141" t="s">
        <v>2561</v>
      </c>
      <c r="H79" s="141">
        <v>2027.8245103641746</v>
      </c>
      <c r="I79" s="141">
        <v>2021</v>
      </c>
      <c r="J79" s="172">
        <v>0.25</v>
      </c>
      <c r="K79" s="141" t="s">
        <v>2210</v>
      </c>
      <c r="L79" s="141" t="s">
        <v>2255</v>
      </c>
      <c r="M79" s="141" t="s">
        <v>2257</v>
      </c>
      <c r="N79" s="141" t="s">
        <v>2144</v>
      </c>
      <c r="R79" s="141">
        <v>1</v>
      </c>
      <c r="S79" s="143">
        <v>14.3729</v>
      </c>
      <c r="T79" s="143">
        <v>0.00709</v>
      </c>
      <c r="U79" s="143">
        <v>10.4141</v>
      </c>
      <c r="V79" s="143">
        <v>0.00514</v>
      </c>
      <c r="W79" s="143">
        <v>2320.4241</v>
      </c>
      <c r="X79" s="143">
        <v>1.14429</v>
      </c>
    </row>
    <row r="80" spans="1:24" s="84" customFormat="1" ht="30">
      <c r="A80" s="95" t="s">
        <v>493</v>
      </c>
      <c r="B80" s="96" t="s">
        <v>418</v>
      </c>
      <c r="C80" s="124" t="s">
        <v>130</v>
      </c>
      <c r="D80" s="98"/>
      <c r="E80" s="99" t="s">
        <v>1689</v>
      </c>
      <c r="F80" s="99" t="s">
        <v>1689</v>
      </c>
      <c r="S80" s="130"/>
      <c r="T80" s="130"/>
      <c r="U80" s="130"/>
      <c r="V80" s="130"/>
      <c r="W80" s="130"/>
      <c r="X80" s="130"/>
    </row>
    <row r="81" spans="1:24" s="84" customFormat="1" ht="42.75">
      <c r="A81" s="95" t="s">
        <v>494</v>
      </c>
      <c r="B81" s="96" t="s">
        <v>418</v>
      </c>
      <c r="C81" s="124" t="s">
        <v>131</v>
      </c>
      <c r="D81" s="98"/>
      <c r="E81" s="99" t="s">
        <v>1689</v>
      </c>
      <c r="F81" s="99" t="s">
        <v>1689</v>
      </c>
      <c r="S81" s="130"/>
      <c r="T81" s="130"/>
      <c r="U81" s="130"/>
      <c r="V81" s="130"/>
      <c r="W81" s="130"/>
      <c r="X81" s="130"/>
    </row>
    <row r="82" spans="1:24" s="141" customFormat="1" ht="57">
      <c r="A82" s="115" t="s">
        <v>495</v>
      </c>
      <c r="B82" s="116" t="s">
        <v>418</v>
      </c>
      <c r="C82" s="117" t="s">
        <v>132</v>
      </c>
      <c r="D82" s="118"/>
      <c r="E82" s="119">
        <v>50</v>
      </c>
      <c r="F82" s="119">
        <v>53</v>
      </c>
      <c r="G82" s="141" t="s">
        <v>2562</v>
      </c>
      <c r="H82" s="141">
        <v>1547.858799570063</v>
      </c>
      <c r="I82" s="141">
        <v>1545.4545454545457</v>
      </c>
      <c r="J82" s="172">
        <v>0.25</v>
      </c>
      <c r="K82" s="141" t="s">
        <v>2281</v>
      </c>
      <c r="L82" s="141" t="s">
        <v>2282</v>
      </c>
      <c r="M82" s="141" t="s">
        <v>2563</v>
      </c>
      <c r="N82" s="141" t="s">
        <v>2144</v>
      </c>
      <c r="R82" s="141">
        <v>1</v>
      </c>
      <c r="S82" s="143">
        <v>13.2272</v>
      </c>
      <c r="T82" s="143">
        <v>0.00855</v>
      </c>
      <c r="U82" s="143">
        <v>7.2169</v>
      </c>
      <c r="V82" s="143">
        <v>0.00466</v>
      </c>
      <c r="W82" s="143">
        <v>1773.567</v>
      </c>
      <c r="X82" s="143">
        <v>1.14582</v>
      </c>
    </row>
    <row r="83" spans="1:24" s="84" customFormat="1" ht="30">
      <c r="A83" s="173" t="s">
        <v>1287</v>
      </c>
      <c r="B83" s="96" t="s">
        <v>418</v>
      </c>
      <c r="C83" s="96" t="s">
        <v>1558</v>
      </c>
      <c r="D83" s="98"/>
      <c r="E83" s="99" t="s">
        <v>1689</v>
      </c>
      <c r="F83" s="99" t="s">
        <v>1689</v>
      </c>
      <c r="S83" s="130"/>
      <c r="T83" s="130"/>
      <c r="U83" s="130"/>
      <c r="V83" s="130"/>
      <c r="W83" s="130"/>
      <c r="X83" s="130"/>
    </row>
    <row r="84" spans="1:24" s="84" customFormat="1" ht="30">
      <c r="A84" s="173" t="s">
        <v>1288</v>
      </c>
      <c r="B84" s="96" t="s">
        <v>418</v>
      </c>
      <c r="C84" s="96" t="s">
        <v>1559</v>
      </c>
      <c r="D84" s="98"/>
      <c r="E84" s="99" t="s">
        <v>1689</v>
      </c>
      <c r="F84" s="99" t="s">
        <v>1689</v>
      </c>
      <c r="S84" s="130"/>
      <c r="T84" s="130"/>
      <c r="U84" s="130"/>
      <c r="V84" s="130"/>
      <c r="W84" s="130"/>
      <c r="X84" s="130"/>
    </row>
    <row r="85" spans="1:24" s="141" customFormat="1" ht="57">
      <c r="A85" s="115" t="s">
        <v>496</v>
      </c>
      <c r="B85" s="116" t="s">
        <v>418</v>
      </c>
      <c r="C85" s="117" t="s">
        <v>133</v>
      </c>
      <c r="D85" s="118"/>
      <c r="E85" s="119">
        <v>110</v>
      </c>
      <c r="F85" s="119">
        <v>116</v>
      </c>
      <c r="G85" s="141" t="s">
        <v>2564</v>
      </c>
      <c r="H85" s="141">
        <v>1847.216686581121</v>
      </c>
      <c r="I85" s="141">
        <v>1841</v>
      </c>
      <c r="J85" s="172">
        <v>0.25</v>
      </c>
      <c r="K85" s="141" t="s">
        <v>2211</v>
      </c>
      <c r="L85" s="141" t="s">
        <v>2256</v>
      </c>
      <c r="M85" s="141" t="s">
        <v>2258</v>
      </c>
      <c r="N85" s="141" t="s">
        <v>2144</v>
      </c>
      <c r="R85" s="141">
        <v>1</v>
      </c>
      <c r="S85" s="143">
        <v>15.2705</v>
      </c>
      <c r="T85" s="143">
        <v>0.00827</v>
      </c>
      <c r="U85" s="143">
        <v>5.7756</v>
      </c>
      <c r="V85" s="143">
        <v>0.00313</v>
      </c>
      <c r="W85" s="143">
        <v>1440.7202</v>
      </c>
      <c r="X85" s="143">
        <v>0.77994</v>
      </c>
    </row>
    <row r="86" spans="1:24" s="141" customFormat="1" ht="42.75">
      <c r="A86" s="115" t="s">
        <v>497</v>
      </c>
      <c r="B86" s="116" t="s">
        <v>418</v>
      </c>
      <c r="C86" s="117" t="s">
        <v>134</v>
      </c>
      <c r="D86" s="118"/>
      <c r="E86" s="119">
        <v>120</v>
      </c>
      <c r="F86" s="119">
        <v>127</v>
      </c>
      <c r="G86" s="141" t="s">
        <v>2565</v>
      </c>
      <c r="H86" s="141">
        <v>1230.1399553223544</v>
      </c>
      <c r="I86" s="141">
        <v>1226</v>
      </c>
      <c r="J86" s="172">
        <v>0.25</v>
      </c>
      <c r="K86" s="141" t="s">
        <v>2212</v>
      </c>
      <c r="L86" s="141" t="s">
        <v>2287</v>
      </c>
      <c r="M86" s="141" t="s">
        <v>2298</v>
      </c>
      <c r="N86" s="141" t="s">
        <v>2144</v>
      </c>
      <c r="R86" s="141">
        <v>1</v>
      </c>
      <c r="S86" s="143">
        <v>10.5325</v>
      </c>
      <c r="T86" s="143">
        <v>0.00856</v>
      </c>
      <c r="U86" s="143">
        <v>4.6994</v>
      </c>
      <c r="V86" s="143">
        <v>0.00362</v>
      </c>
      <c r="W86" s="143">
        <v>1192.9627</v>
      </c>
      <c r="X86" s="143">
        <v>0.96979</v>
      </c>
    </row>
    <row r="87" spans="1:24" s="84" customFormat="1" ht="30">
      <c r="A87" s="95" t="s">
        <v>498</v>
      </c>
      <c r="B87" s="96" t="s">
        <v>418</v>
      </c>
      <c r="C87" s="124" t="s">
        <v>135</v>
      </c>
      <c r="D87" s="98"/>
      <c r="E87" s="99" t="s">
        <v>1689</v>
      </c>
      <c r="F87" s="99" t="s">
        <v>1689</v>
      </c>
      <c r="S87" s="130"/>
      <c r="T87" s="130"/>
      <c r="U87" s="130"/>
      <c r="V87" s="130"/>
      <c r="W87" s="130"/>
      <c r="X87" s="130"/>
    </row>
    <row r="88" spans="1:24" s="141" customFormat="1" ht="30">
      <c r="A88" s="115" t="s">
        <v>499</v>
      </c>
      <c r="B88" s="116" t="s">
        <v>418</v>
      </c>
      <c r="C88" s="117" t="s">
        <v>136</v>
      </c>
      <c r="D88" s="118"/>
      <c r="E88" s="119">
        <v>90</v>
      </c>
      <c r="F88" s="119">
        <v>95</v>
      </c>
      <c r="G88" s="141" t="s">
        <v>2566</v>
      </c>
      <c r="H88" s="141">
        <v>1627.0483302219454</v>
      </c>
      <c r="I88" s="141">
        <v>1624.5210727969347</v>
      </c>
      <c r="J88" s="172">
        <v>0.25</v>
      </c>
      <c r="K88" s="141" t="s">
        <v>2303</v>
      </c>
      <c r="L88" s="141" t="s">
        <v>2304</v>
      </c>
      <c r="M88" s="141" t="s">
        <v>2305</v>
      </c>
      <c r="N88" s="141" t="s">
        <v>2144</v>
      </c>
      <c r="R88" s="141">
        <v>1</v>
      </c>
      <c r="S88" s="143">
        <v>12.06</v>
      </c>
      <c r="T88" s="143">
        <v>0.00741</v>
      </c>
      <c r="U88" s="143">
        <v>10.6031</v>
      </c>
      <c r="V88" s="143">
        <v>0.00652</v>
      </c>
      <c r="W88" s="143">
        <v>2397.7711</v>
      </c>
      <c r="X88" s="143">
        <v>1.47369</v>
      </c>
    </row>
    <row r="89" spans="1:24" s="84" customFormat="1" ht="42.75">
      <c r="A89" s="95" t="s">
        <v>737</v>
      </c>
      <c r="B89" s="96" t="s">
        <v>418</v>
      </c>
      <c r="C89" s="97" t="s">
        <v>137</v>
      </c>
      <c r="D89" s="98"/>
      <c r="E89" s="99">
        <v>0</v>
      </c>
      <c r="F89" s="99">
        <v>0</v>
      </c>
      <c r="S89" s="130"/>
      <c r="T89" s="130"/>
      <c r="U89" s="130"/>
      <c r="V89" s="130"/>
      <c r="W89" s="130"/>
      <c r="X89" s="130"/>
    </row>
    <row r="90" spans="1:24" s="84" customFormat="1" ht="42.75">
      <c r="A90" s="95" t="s">
        <v>500</v>
      </c>
      <c r="B90" s="96" t="s">
        <v>418</v>
      </c>
      <c r="C90" s="124" t="s">
        <v>138</v>
      </c>
      <c r="D90" s="98"/>
      <c r="E90" s="99">
        <v>0</v>
      </c>
      <c r="F90" s="99">
        <v>0</v>
      </c>
      <c r="S90" s="130"/>
      <c r="T90" s="130"/>
      <c r="U90" s="130"/>
      <c r="V90" s="130"/>
      <c r="W90" s="130"/>
      <c r="X90" s="130"/>
    </row>
    <row r="91" spans="1:24" s="84" customFormat="1" ht="42.75">
      <c r="A91" s="95" t="s">
        <v>501</v>
      </c>
      <c r="B91" s="96" t="s">
        <v>418</v>
      </c>
      <c r="C91" s="124" t="s">
        <v>139</v>
      </c>
      <c r="D91" s="98"/>
      <c r="E91" s="99">
        <v>0</v>
      </c>
      <c r="F91" s="99">
        <v>0</v>
      </c>
      <c r="S91" s="130"/>
      <c r="T91" s="130"/>
      <c r="U91" s="130"/>
      <c r="V91" s="130"/>
      <c r="W91" s="130"/>
      <c r="X91" s="130"/>
    </row>
    <row r="92" spans="1:24" s="84" customFormat="1" ht="42.75">
      <c r="A92" s="95" t="s">
        <v>502</v>
      </c>
      <c r="B92" s="96" t="s">
        <v>418</v>
      </c>
      <c r="C92" s="124" t="s">
        <v>140</v>
      </c>
      <c r="D92" s="98"/>
      <c r="E92" s="99">
        <v>0</v>
      </c>
      <c r="F92" s="99">
        <v>0</v>
      </c>
      <c r="S92" s="130"/>
      <c r="T92" s="130"/>
      <c r="U92" s="130"/>
      <c r="V92" s="130"/>
      <c r="W92" s="130"/>
      <c r="X92" s="130"/>
    </row>
    <row r="93" spans="1:24" s="84" customFormat="1" ht="42.75">
      <c r="A93" s="95" t="s">
        <v>503</v>
      </c>
      <c r="B93" s="96" t="s">
        <v>418</v>
      </c>
      <c r="C93" s="124" t="s">
        <v>141</v>
      </c>
      <c r="D93" s="98"/>
      <c r="E93" s="99">
        <v>0</v>
      </c>
      <c r="F93" s="99">
        <v>0</v>
      </c>
      <c r="S93" s="130"/>
      <c r="T93" s="130"/>
      <c r="U93" s="130"/>
      <c r="V93" s="130"/>
      <c r="W93" s="130"/>
      <c r="X93" s="130"/>
    </row>
    <row r="94" spans="1:24" s="84" customFormat="1" ht="42.75">
      <c r="A94" s="95" t="s">
        <v>504</v>
      </c>
      <c r="B94" s="96" t="s">
        <v>418</v>
      </c>
      <c r="C94" s="124" t="s">
        <v>142</v>
      </c>
      <c r="D94" s="98"/>
      <c r="E94" s="99">
        <v>0</v>
      </c>
      <c r="F94" s="99">
        <v>0</v>
      </c>
      <c r="S94" s="130"/>
      <c r="T94" s="130"/>
      <c r="U94" s="130"/>
      <c r="V94" s="130"/>
      <c r="W94" s="130"/>
      <c r="X94" s="130"/>
    </row>
    <row r="95" spans="1:24" s="84" customFormat="1" ht="42.75">
      <c r="A95" s="95" t="s">
        <v>505</v>
      </c>
      <c r="B95" s="96" t="s">
        <v>418</v>
      </c>
      <c r="C95" s="124" t="s">
        <v>143</v>
      </c>
      <c r="D95" s="98"/>
      <c r="E95" s="99">
        <v>0</v>
      </c>
      <c r="F95" s="99">
        <v>0</v>
      </c>
      <c r="S95" s="130"/>
      <c r="T95" s="130"/>
      <c r="U95" s="130"/>
      <c r="V95" s="130"/>
      <c r="W95" s="130"/>
      <c r="X95" s="130"/>
    </row>
    <row r="96" spans="1:24" s="84" customFormat="1" ht="42.75">
      <c r="A96" s="95" t="s">
        <v>506</v>
      </c>
      <c r="B96" s="96" t="s">
        <v>418</v>
      </c>
      <c r="C96" s="124" t="s">
        <v>144</v>
      </c>
      <c r="D96" s="98"/>
      <c r="E96" s="99">
        <v>0</v>
      </c>
      <c r="F96" s="99">
        <v>0</v>
      </c>
      <c r="S96" s="130"/>
      <c r="T96" s="130"/>
      <c r="U96" s="130"/>
      <c r="V96" s="130"/>
      <c r="W96" s="130"/>
      <c r="X96" s="130"/>
    </row>
    <row r="97" spans="1:24" s="84" customFormat="1" ht="42.75">
      <c r="A97" s="95" t="s">
        <v>507</v>
      </c>
      <c r="B97" s="96" t="s">
        <v>418</v>
      </c>
      <c r="C97" s="124" t="s">
        <v>145</v>
      </c>
      <c r="D97" s="98"/>
      <c r="E97" s="99">
        <v>0</v>
      </c>
      <c r="F97" s="99">
        <v>0</v>
      </c>
      <c r="S97" s="130"/>
      <c r="T97" s="130"/>
      <c r="U97" s="130"/>
      <c r="V97" s="130"/>
      <c r="W97" s="130"/>
      <c r="X97" s="130"/>
    </row>
    <row r="98" spans="1:24" s="84" customFormat="1" ht="42.75">
      <c r="A98" s="95" t="s">
        <v>508</v>
      </c>
      <c r="B98" s="96" t="s">
        <v>418</v>
      </c>
      <c r="C98" s="124" t="s">
        <v>146</v>
      </c>
      <c r="D98" s="98"/>
      <c r="E98" s="99">
        <v>0</v>
      </c>
      <c r="F98" s="99">
        <v>0</v>
      </c>
      <c r="S98" s="130"/>
      <c r="T98" s="130"/>
      <c r="U98" s="130"/>
      <c r="V98" s="130"/>
      <c r="W98" s="130"/>
      <c r="X98" s="130"/>
    </row>
    <row r="99" spans="1:24" s="84" customFormat="1" ht="42.75">
      <c r="A99" s="95" t="s">
        <v>509</v>
      </c>
      <c r="B99" s="96" t="s">
        <v>418</v>
      </c>
      <c r="C99" s="124" t="s">
        <v>147</v>
      </c>
      <c r="D99" s="98"/>
      <c r="E99" s="99">
        <v>0</v>
      </c>
      <c r="F99" s="99">
        <v>0</v>
      </c>
      <c r="S99" s="130"/>
      <c r="T99" s="130"/>
      <c r="U99" s="130"/>
      <c r="V99" s="130"/>
      <c r="W99" s="130"/>
      <c r="X99" s="130"/>
    </row>
    <row r="100" spans="1:24" s="84" customFormat="1" ht="42.75">
      <c r="A100" s="95" t="s">
        <v>510</v>
      </c>
      <c r="B100" s="96" t="s">
        <v>418</v>
      </c>
      <c r="C100" s="124" t="s">
        <v>148</v>
      </c>
      <c r="D100" s="98"/>
      <c r="E100" s="99">
        <v>0</v>
      </c>
      <c r="F100" s="99">
        <v>0</v>
      </c>
      <c r="S100" s="130"/>
      <c r="T100" s="130"/>
      <c r="U100" s="130"/>
      <c r="V100" s="130"/>
      <c r="W100" s="130"/>
      <c r="X100" s="130"/>
    </row>
    <row r="101" spans="1:24" s="84" customFormat="1" ht="57">
      <c r="A101" s="95" t="s">
        <v>511</v>
      </c>
      <c r="B101" s="96" t="s">
        <v>418</v>
      </c>
      <c r="C101" s="124" t="s">
        <v>149</v>
      </c>
      <c r="D101" s="98"/>
      <c r="E101" s="99">
        <v>0</v>
      </c>
      <c r="F101" s="99">
        <v>0</v>
      </c>
      <c r="S101" s="130"/>
      <c r="T101" s="130"/>
      <c r="U101" s="130"/>
      <c r="V101" s="130"/>
      <c r="W101" s="130"/>
      <c r="X101" s="130"/>
    </row>
    <row r="102" spans="1:24" s="84" customFormat="1" ht="28.5">
      <c r="A102" s="95" t="s">
        <v>738</v>
      </c>
      <c r="B102" s="96" t="s">
        <v>418</v>
      </c>
      <c r="C102" s="124" t="s">
        <v>150</v>
      </c>
      <c r="D102" s="98"/>
      <c r="E102" s="99" t="s">
        <v>1689</v>
      </c>
      <c r="F102" s="99" t="s">
        <v>1689</v>
      </c>
      <c r="S102" s="130"/>
      <c r="T102" s="130"/>
      <c r="U102" s="130"/>
      <c r="V102" s="130"/>
      <c r="W102" s="130"/>
      <c r="X102" s="130"/>
    </row>
    <row r="103" spans="1:24" s="168" customFormat="1" ht="28.5">
      <c r="A103" s="163" t="s">
        <v>739</v>
      </c>
      <c r="B103" s="164" t="s">
        <v>418</v>
      </c>
      <c r="C103" s="165" t="s">
        <v>151</v>
      </c>
      <c r="D103" s="166"/>
      <c r="E103" s="167">
        <v>2450</v>
      </c>
      <c r="F103" s="167">
        <v>2593</v>
      </c>
      <c r="S103" s="185"/>
      <c r="T103" s="185"/>
      <c r="U103" s="185"/>
      <c r="V103" s="185"/>
      <c r="W103" s="185"/>
      <c r="X103" s="185"/>
    </row>
    <row r="104" spans="1:24" s="84" customFormat="1" ht="30">
      <c r="A104" s="95" t="s">
        <v>512</v>
      </c>
      <c r="B104" s="96" t="s">
        <v>418</v>
      </c>
      <c r="C104" s="124" t="s">
        <v>152</v>
      </c>
      <c r="D104" s="98"/>
      <c r="E104" s="99">
        <v>0</v>
      </c>
      <c r="F104" s="99">
        <v>0</v>
      </c>
      <c r="S104" s="130"/>
      <c r="T104" s="130"/>
      <c r="U104" s="130"/>
      <c r="V104" s="130"/>
      <c r="W104" s="130"/>
      <c r="X104" s="130"/>
    </row>
    <row r="105" spans="1:24" s="84" customFormat="1" ht="30">
      <c r="A105" s="95" t="s">
        <v>513</v>
      </c>
      <c r="B105" s="96" t="s">
        <v>418</v>
      </c>
      <c r="C105" s="124" t="s">
        <v>153</v>
      </c>
      <c r="D105" s="98"/>
      <c r="E105" s="99">
        <v>0</v>
      </c>
      <c r="F105" s="99">
        <v>0</v>
      </c>
      <c r="S105" s="130"/>
      <c r="T105" s="130"/>
      <c r="U105" s="130"/>
      <c r="V105" s="130"/>
      <c r="W105" s="130"/>
      <c r="X105" s="130"/>
    </row>
    <row r="106" spans="1:24" s="84" customFormat="1" ht="30">
      <c r="A106" s="95" t="s">
        <v>514</v>
      </c>
      <c r="B106" s="96" t="s">
        <v>418</v>
      </c>
      <c r="C106" s="124" t="s">
        <v>154</v>
      </c>
      <c r="D106" s="98"/>
      <c r="E106" s="99">
        <v>0</v>
      </c>
      <c r="F106" s="99">
        <v>0</v>
      </c>
      <c r="S106" s="130"/>
      <c r="T106" s="130"/>
      <c r="U106" s="130"/>
      <c r="V106" s="130"/>
      <c r="W106" s="130"/>
      <c r="X106" s="130"/>
    </row>
    <row r="107" spans="1:24" s="84" customFormat="1" ht="30">
      <c r="A107" s="95" t="s">
        <v>515</v>
      </c>
      <c r="B107" s="96" t="s">
        <v>418</v>
      </c>
      <c r="C107" s="124" t="s">
        <v>155</v>
      </c>
      <c r="D107" s="98"/>
      <c r="E107" s="99" t="s">
        <v>1689</v>
      </c>
      <c r="F107" s="99" t="s">
        <v>1689</v>
      </c>
      <c r="S107" s="130"/>
      <c r="T107" s="130"/>
      <c r="U107" s="130"/>
      <c r="V107" s="130"/>
      <c r="W107" s="130"/>
      <c r="X107" s="130"/>
    </row>
    <row r="108" spans="1:24" s="84" customFormat="1" ht="30">
      <c r="A108" s="95" t="s">
        <v>516</v>
      </c>
      <c r="B108" s="96" t="s">
        <v>418</v>
      </c>
      <c r="C108" s="124" t="s">
        <v>156</v>
      </c>
      <c r="D108" s="98"/>
      <c r="E108" s="99" t="s">
        <v>1689</v>
      </c>
      <c r="F108" s="99" t="s">
        <v>1689</v>
      </c>
      <c r="S108" s="130"/>
      <c r="T108" s="130"/>
      <c r="U108" s="130"/>
      <c r="V108" s="130"/>
      <c r="W108" s="130"/>
      <c r="X108" s="130"/>
    </row>
    <row r="109" spans="1:24" s="84" customFormat="1" ht="30">
      <c r="A109" s="95" t="s">
        <v>517</v>
      </c>
      <c r="B109" s="96" t="s">
        <v>418</v>
      </c>
      <c r="C109" s="124" t="s">
        <v>157</v>
      </c>
      <c r="D109" s="98"/>
      <c r="E109" s="99">
        <v>0</v>
      </c>
      <c r="F109" s="99">
        <v>0</v>
      </c>
      <c r="S109" s="130"/>
      <c r="T109" s="130"/>
      <c r="U109" s="130"/>
      <c r="V109" s="130"/>
      <c r="W109" s="130"/>
      <c r="X109" s="130"/>
    </row>
    <row r="110" spans="1:24" s="84" customFormat="1" ht="30">
      <c r="A110" s="95" t="s">
        <v>518</v>
      </c>
      <c r="B110" s="96" t="s">
        <v>418</v>
      </c>
      <c r="C110" s="124" t="s">
        <v>158</v>
      </c>
      <c r="D110" s="98"/>
      <c r="E110" s="99" t="s">
        <v>1689</v>
      </c>
      <c r="F110" s="99" t="s">
        <v>1689</v>
      </c>
      <c r="S110" s="130"/>
      <c r="T110" s="130"/>
      <c r="U110" s="130"/>
      <c r="V110" s="130"/>
      <c r="W110" s="130"/>
      <c r="X110" s="130"/>
    </row>
    <row r="111" spans="1:24" s="84" customFormat="1" ht="30">
      <c r="A111" s="95" t="s">
        <v>519</v>
      </c>
      <c r="B111" s="96" t="s">
        <v>418</v>
      </c>
      <c r="C111" s="124" t="s">
        <v>159</v>
      </c>
      <c r="D111" s="98"/>
      <c r="E111" s="99" t="s">
        <v>1689</v>
      </c>
      <c r="F111" s="99" t="s">
        <v>1689</v>
      </c>
      <c r="S111" s="130"/>
      <c r="T111" s="130"/>
      <c r="U111" s="130"/>
      <c r="V111" s="130"/>
      <c r="W111" s="130"/>
      <c r="X111" s="130"/>
    </row>
    <row r="112" spans="1:24" s="84" customFormat="1" ht="30">
      <c r="A112" s="95" t="s">
        <v>520</v>
      </c>
      <c r="B112" s="96" t="s">
        <v>418</v>
      </c>
      <c r="C112" s="124" t="s">
        <v>160</v>
      </c>
      <c r="D112" s="98"/>
      <c r="E112" s="99">
        <v>260</v>
      </c>
      <c r="F112" s="99">
        <v>275</v>
      </c>
      <c r="S112" s="130"/>
      <c r="T112" s="130"/>
      <c r="U112" s="130"/>
      <c r="V112" s="130"/>
      <c r="W112" s="130"/>
      <c r="X112" s="130"/>
    </row>
    <row r="113" spans="1:24" s="84" customFormat="1" ht="42.75">
      <c r="A113" s="95" t="s">
        <v>521</v>
      </c>
      <c r="B113" s="96" t="s">
        <v>418</v>
      </c>
      <c r="C113" s="124" t="s">
        <v>161</v>
      </c>
      <c r="D113" s="98"/>
      <c r="E113" s="99">
        <v>260</v>
      </c>
      <c r="F113" s="99">
        <v>275</v>
      </c>
      <c r="S113" s="130"/>
      <c r="T113" s="130"/>
      <c r="U113" s="130"/>
      <c r="V113" s="130"/>
      <c r="W113" s="130"/>
      <c r="X113" s="130"/>
    </row>
    <row r="114" spans="1:24" s="84" customFormat="1" ht="57">
      <c r="A114" s="95" t="s">
        <v>522</v>
      </c>
      <c r="B114" s="96" t="s">
        <v>418</v>
      </c>
      <c r="C114" s="124" t="s">
        <v>162</v>
      </c>
      <c r="D114" s="98"/>
      <c r="E114" s="99" t="s">
        <v>1689</v>
      </c>
      <c r="F114" s="99" t="s">
        <v>1689</v>
      </c>
      <c r="S114" s="130"/>
      <c r="T114" s="130"/>
      <c r="U114" s="130"/>
      <c r="V114" s="130"/>
      <c r="W114" s="130"/>
      <c r="X114" s="130"/>
    </row>
    <row r="115" spans="1:24" s="84" customFormat="1" ht="30">
      <c r="A115" s="95" t="s">
        <v>523</v>
      </c>
      <c r="B115" s="96" t="s">
        <v>418</v>
      </c>
      <c r="C115" s="124" t="s">
        <v>163</v>
      </c>
      <c r="D115" s="98"/>
      <c r="E115" s="99" t="s">
        <v>1689</v>
      </c>
      <c r="F115" s="99" t="s">
        <v>1689</v>
      </c>
      <c r="S115" s="130"/>
      <c r="T115" s="130"/>
      <c r="U115" s="130"/>
      <c r="V115" s="130"/>
      <c r="W115" s="130"/>
      <c r="X115" s="130"/>
    </row>
    <row r="116" spans="1:24" s="84" customFormat="1" ht="30">
      <c r="A116" s="95" t="s">
        <v>524</v>
      </c>
      <c r="B116" s="96" t="s">
        <v>418</v>
      </c>
      <c r="C116" s="124" t="s">
        <v>164</v>
      </c>
      <c r="D116" s="98"/>
      <c r="E116" s="99" t="s">
        <v>1689</v>
      </c>
      <c r="F116" s="99" t="s">
        <v>1689</v>
      </c>
      <c r="S116" s="130"/>
      <c r="T116" s="130"/>
      <c r="U116" s="130"/>
      <c r="V116" s="130"/>
      <c r="W116" s="130"/>
      <c r="X116" s="130"/>
    </row>
    <row r="117" spans="1:24" s="84" customFormat="1" ht="42.75">
      <c r="A117" s="95" t="s">
        <v>525</v>
      </c>
      <c r="B117" s="96" t="s">
        <v>418</v>
      </c>
      <c r="C117" s="124" t="s">
        <v>165</v>
      </c>
      <c r="D117" s="98"/>
      <c r="E117" s="99">
        <v>370</v>
      </c>
      <c r="F117" s="99">
        <v>392</v>
      </c>
      <c r="S117" s="130"/>
      <c r="T117" s="130"/>
      <c r="U117" s="130"/>
      <c r="V117" s="130"/>
      <c r="W117" s="130"/>
      <c r="X117" s="130"/>
    </row>
    <row r="118" spans="1:24" s="84" customFormat="1" ht="42.75">
      <c r="A118" s="95" t="s">
        <v>526</v>
      </c>
      <c r="B118" s="96" t="s">
        <v>418</v>
      </c>
      <c r="C118" s="124" t="s">
        <v>166</v>
      </c>
      <c r="D118" s="98"/>
      <c r="E118" s="99">
        <v>210</v>
      </c>
      <c r="F118" s="99">
        <v>222</v>
      </c>
      <c r="S118" s="130"/>
      <c r="T118" s="130"/>
      <c r="U118" s="130"/>
      <c r="V118" s="130"/>
      <c r="W118" s="130"/>
      <c r="X118" s="130"/>
    </row>
    <row r="119" spans="1:24" s="84" customFormat="1" ht="30">
      <c r="A119" s="95" t="s">
        <v>527</v>
      </c>
      <c r="B119" s="96" t="s">
        <v>418</v>
      </c>
      <c r="C119" s="124" t="s">
        <v>167</v>
      </c>
      <c r="D119" s="98"/>
      <c r="E119" s="99" t="s">
        <v>1689</v>
      </c>
      <c r="F119" s="99" t="s">
        <v>1689</v>
      </c>
      <c r="S119" s="130"/>
      <c r="T119" s="130"/>
      <c r="U119" s="130"/>
      <c r="V119" s="130"/>
      <c r="W119" s="130"/>
      <c r="X119" s="130"/>
    </row>
    <row r="120" spans="1:24" s="84" customFormat="1" ht="28.5">
      <c r="A120" s="95" t="s">
        <v>740</v>
      </c>
      <c r="B120" s="96" t="s">
        <v>418</v>
      </c>
      <c r="C120" s="124" t="s">
        <v>168</v>
      </c>
      <c r="D120" s="98"/>
      <c r="E120" s="99" t="s">
        <v>1689</v>
      </c>
      <c r="F120" s="99" t="s">
        <v>1689</v>
      </c>
      <c r="S120" s="130"/>
      <c r="T120" s="130"/>
      <c r="U120" s="130"/>
      <c r="V120" s="130"/>
      <c r="W120" s="130"/>
      <c r="X120" s="130"/>
    </row>
    <row r="121" spans="1:24" s="162" customFormat="1" ht="71.25">
      <c r="A121" s="105" t="s">
        <v>741</v>
      </c>
      <c r="B121" s="158" t="s">
        <v>418</v>
      </c>
      <c r="C121" s="159" t="s">
        <v>169</v>
      </c>
      <c r="D121" s="160" t="s">
        <v>1912</v>
      </c>
      <c r="E121" s="161">
        <v>640</v>
      </c>
      <c r="F121" s="161">
        <v>677</v>
      </c>
      <c r="S121" s="184"/>
      <c r="T121" s="184"/>
      <c r="U121" s="184"/>
      <c r="V121" s="184"/>
      <c r="W121" s="184"/>
      <c r="X121" s="184"/>
    </row>
    <row r="122" spans="1:24" s="141" customFormat="1" ht="15">
      <c r="A122" s="115" t="s">
        <v>742</v>
      </c>
      <c r="B122" s="116" t="s">
        <v>418</v>
      </c>
      <c r="C122" s="117" t="s">
        <v>170</v>
      </c>
      <c r="D122" s="118" t="s">
        <v>2216</v>
      </c>
      <c r="E122" s="119">
        <v>420</v>
      </c>
      <c r="F122" s="119">
        <v>445</v>
      </c>
      <c r="G122" s="141" t="s">
        <v>2567</v>
      </c>
      <c r="H122" s="141" t="s">
        <v>413</v>
      </c>
      <c r="I122" s="141" t="s">
        <v>413</v>
      </c>
      <c r="J122" s="172">
        <v>0.25</v>
      </c>
      <c r="K122" s="141" t="s">
        <v>413</v>
      </c>
      <c r="L122" s="141" t="s">
        <v>413</v>
      </c>
      <c r="M122" s="141" t="s">
        <v>413</v>
      </c>
      <c r="O122" s="141" t="s">
        <v>413</v>
      </c>
      <c r="P122" s="141" t="s">
        <v>413</v>
      </c>
      <c r="Q122" s="141" t="s">
        <v>413</v>
      </c>
      <c r="S122" s="143" t="s">
        <v>413</v>
      </c>
      <c r="T122" s="143">
        <v>0.00814</v>
      </c>
      <c r="U122" s="143" t="s">
        <v>413</v>
      </c>
      <c r="V122" s="143">
        <v>0.001429</v>
      </c>
      <c r="W122" s="143" t="s">
        <v>413</v>
      </c>
      <c r="X122" s="143">
        <v>0.01584</v>
      </c>
    </row>
    <row r="123" spans="1:24" s="84" customFormat="1" ht="42.75">
      <c r="A123" s="95" t="s">
        <v>528</v>
      </c>
      <c r="B123" s="96" t="s">
        <v>418</v>
      </c>
      <c r="C123" s="124" t="s">
        <v>171</v>
      </c>
      <c r="D123" s="98"/>
      <c r="E123" s="99" t="s">
        <v>1689</v>
      </c>
      <c r="F123" s="99" t="s">
        <v>1689</v>
      </c>
      <c r="S123" s="130"/>
      <c r="T123" s="130"/>
      <c r="U123" s="130"/>
      <c r="V123" s="130"/>
      <c r="W123" s="130"/>
      <c r="X123" s="130"/>
    </row>
    <row r="124" spans="1:24" s="84" customFormat="1" ht="42.75">
      <c r="A124" s="95" t="s">
        <v>529</v>
      </c>
      <c r="B124" s="96" t="s">
        <v>418</v>
      </c>
      <c r="C124" s="124" t="s">
        <v>172</v>
      </c>
      <c r="D124" s="98"/>
      <c r="E124" s="99">
        <v>0</v>
      </c>
      <c r="F124" s="99">
        <v>0</v>
      </c>
      <c r="S124" s="130"/>
      <c r="T124" s="130"/>
      <c r="U124" s="130"/>
      <c r="V124" s="130"/>
      <c r="W124" s="130"/>
      <c r="X124" s="130"/>
    </row>
    <row r="125" spans="1:24" s="141" customFormat="1" ht="42.75">
      <c r="A125" s="115" t="s">
        <v>530</v>
      </c>
      <c r="B125" s="116" t="s">
        <v>418</v>
      </c>
      <c r="C125" s="117" t="s">
        <v>173</v>
      </c>
      <c r="D125" s="118" t="s">
        <v>2215</v>
      </c>
      <c r="E125" s="119">
        <v>160</v>
      </c>
      <c r="F125" s="119">
        <v>169</v>
      </c>
      <c r="G125" s="141" t="s">
        <v>2568</v>
      </c>
      <c r="H125" s="141">
        <v>3658.121101279463</v>
      </c>
      <c r="I125" s="141">
        <v>3652.439024390244</v>
      </c>
      <c r="J125" s="172">
        <v>0.25</v>
      </c>
      <c r="K125" s="141" t="s">
        <v>2295</v>
      </c>
      <c r="L125" s="141" t="s">
        <v>2301</v>
      </c>
      <c r="M125" s="141" t="s">
        <v>2302</v>
      </c>
      <c r="N125" s="141" t="s">
        <v>2145</v>
      </c>
      <c r="O125" s="141" t="s">
        <v>413</v>
      </c>
      <c r="Q125" s="141" t="s">
        <v>413</v>
      </c>
      <c r="R125" s="141">
        <v>1</v>
      </c>
      <c r="S125" s="143">
        <v>24.1585</v>
      </c>
      <c r="T125" s="143">
        <v>0.0066</v>
      </c>
      <c r="U125" s="143">
        <v>3.1568</v>
      </c>
      <c r="V125" s="143">
        <v>0.00086</v>
      </c>
      <c r="W125" s="143">
        <v>89.8058</v>
      </c>
      <c r="X125" s="143">
        <v>0.02455</v>
      </c>
    </row>
    <row r="126" spans="1:24" s="141" customFormat="1" ht="42.75">
      <c r="A126" s="115" t="s">
        <v>531</v>
      </c>
      <c r="B126" s="116" t="s">
        <v>418</v>
      </c>
      <c r="C126" s="117" t="s">
        <v>174</v>
      </c>
      <c r="D126" s="118" t="s">
        <v>2214</v>
      </c>
      <c r="E126" s="119">
        <v>120</v>
      </c>
      <c r="F126" s="119">
        <v>127</v>
      </c>
      <c r="G126" s="141" t="s">
        <v>2569</v>
      </c>
      <c r="H126" s="141">
        <v>3330.17268201618</v>
      </c>
      <c r="I126" s="141">
        <v>3325.0000000000005</v>
      </c>
      <c r="J126" s="172">
        <v>0.25</v>
      </c>
      <c r="K126" s="141" t="s">
        <v>2296</v>
      </c>
      <c r="L126" s="141" t="s">
        <v>2297</v>
      </c>
      <c r="M126" s="141" t="s">
        <v>2299</v>
      </c>
      <c r="N126" s="141" t="s">
        <v>2145</v>
      </c>
      <c r="O126" s="141" t="s">
        <v>413</v>
      </c>
      <c r="Q126" s="141" t="s">
        <v>413</v>
      </c>
      <c r="R126" s="141">
        <v>1</v>
      </c>
      <c r="S126" s="143">
        <v>36.4771</v>
      </c>
      <c r="T126" s="143">
        <v>0.01095</v>
      </c>
      <c r="U126" s="143">
        <v>39.8276</v>
      </c>
      <c r="V126" s="143">
        <v>0.01196</v>
      </c>
      <c r="W126" s="143">
        <v>5693.3378</v>
      </c>
      <c r="X126" s="143">
        <v>1.70962</v>
      </c>
    </row>
    <row r="127" spans="1:24" s="84" customFormat="1" ht="15">
      <c r="A127" s="173" t="s">
        <v>743</v>
      </c>
      <c r="B127" s="96" t="s">
        <v>418</v>
      </c>
      <c r="C127" s="124" t="s">
        <v>175</v>
      </c>
      <c r="D127" s="98"/>
      <c r="E127" s="99">
        <v>140</v>
      </c>
      <c r="F127" s="99">
        <v>148</v>
      </c>
      <c r="S127" s="130"/>
      <c r="T127" s="130"/>
      <c r="U127" s="130"/>
      <c r="V127" s="130"/>
      <c r="W127" s="130"/>
      <c r="X127" s="130"/>
    </row>
    <row r="128" spans="1:24" s="84" customFormat="1" ht="42.75">
      <c r="A128" s="95" t="s">
        <v>532</v>
      </c>
      <c r="B128" s="96" t="s">
        <v>418</v>
      </c>
      <c r="C128" s="124" t="s">
        <v>176</v>
      </c>
      <c r="D128" s="98"/>
      <c r="E128" s="99" t="s">
        <v>1689</v>
      </c>
      <c r="F128" s="99" t="s">
        <v>1689</v>
      </c>
      <c r="S128" s="130"/>
      <c r="T128" s="130"/>
      <c r="U128" s="130"/>
      <c r="V128" s="130"/>
      <c r="W128" s="130"/>
      <c r="X128" s="130"/>
    </row>
    <row r="129" spans="1:24" s="141" customFormat="1" ht="42.75">
      <c r="A129" s="115" t="s">
        <v>533</v>
      </c>
      <c r="B129" s="116" t="s">
        <v>418</v>
      </c>
      <c r="C129" s="117" t="s">
        <v>177</v>
      </c>
      <c r="D129" s="118" t="s">
        <v>2213</v>
      </c>
      <c r="E129" s="119">
        <v>70</v>
      </c>
      <c r="F129" s="119">
        <v>74</v>
      </c>
      <c r="G129" s="141" t="s">
        <v>2570</v>
      </c>
      <c r="H129" s="141">
        <v>4163.136505911636</v>
      </c>
      <c r="I129" s="141">
        <v>4156.67</v>
      </c>
      <c r="J129" s="172">
        <v>0.25</v>
      </c>
      <c r="K129" s="141" t="s">
        <v>2265</v>
      </c>
      <c r="L129" s="141" t="s">
        <v>2571</v>
      </c>
      <c r="M129" s="141" t="s">
        <v>2300</v>
      </c>
      <c r="N129" s="141" t="s">
        <v>1756</v>
      </c>
      <c r="R129" s="141">
        <v>1</v>
      </c>
      <c r="S129" s="143">
        <v>28.8404</v>
      </c>
      <c r="T129" s="143">
        <v>0.00693</v>
      </c>
      <c r="U129" s="143">
        <v>4.2427</v>
      </c>
      <c r="V129" s="143">
        <v>0.00102</v>
      </c>
      <c r="W129" s="143">
        <v>84.6802</v>
      </c>
      <c r="X129" s="143">
        <v>0.02034</v>
      </c>
    </row>
    <row r="130" spans="1:24" s="84" customFormat="1" ht="57">
      <c r="A130" s="95" t="s">
        <v>744</v>
      </c>
      <c r="B130" s="96" t="s">
        <v>418</v>
      </c>
      <c r="C130" s="124" t="s">
        <v>178</v>
      </c>
      <c r="D130" s="98"/>
      <c r="E130" s="99">
        <v>0</v>
      </c>
      <c r="F130" s="99">
        <v>0</v>
      </c>
      <c r="S130" s="130"/>
      <c r="T130" s="130"/>
      <c r="U130" s="130"/>
      <c r="V130" s="130"/>
      <c r="W130" s="130"/>
      <c r="X130" s="130"/>
    </row>
    <row r="131" spans="1:24" s="84" customFormat="1" ht="15">
      <c r="A131" s="95" t="s">
        <v>745</v>
      </c>
      <c r="B131" s="96" t="s">
        <v>418</v>
      </c>
      <c r="C131" s="124" t="s">
        <v>179</v>
      </c>
      <c r="D131" s="98"/>
      <c r="E131" s="99">
        <v>50</v>
      </c>
      <c r="F131" s="99">
        <v>53</v>
      </c>
      <c r="S131" s="130"/>
      <c r="T131" s="130"/>
      <c r="U131" s="130"/>
      <c r="V131" s="130"/>
      <c r="W131" s="130"/>
      <c r="X131" s="130"/>
    </row>
    <row r="132" spans="1:24" s="84" customFormat="1" ht="15">
      <c r="A132" s="95" t="s">
        <v>746</v>
      </c>
      <c r="B132" s="96" t="s">
        <v>418</v>
      </c>
      <c r="C132" s="124" t="s">
        <v>180</v>
      </c>
      <c r="D132" s="98"/>
      <c r="E132" s="99" t="s">
        <v>1689</v>
      </c>
      <c r="F132" s="99" t="s">
        <v>1689</v>
      </c>
      <c r="S132" s="130"/>
      <c r="T132" s="130"/>
      <c r="U132" s="130"/>
      <c r="V132" s="130"/>
      <c r="W132" s="130"/>
      <c r="X132" s="130"/>
    </row>
    <row r="133" spans="1:24" s="141" customFormat="1" ht="71.25">
      <c r="A133" s="115" t="s">
        <v>747</v>
      </c>
      <c r="B133" s="116" t="s">
        <v>418</v>
      </c>
      <c r="C133" s="117" t="s">
        <v>1300</v>
      </c>
      <c r="D133" s="118" t="s">
        <v>1913</v>
      </c>
      <c r="E133" s="119" t="s">
        <v>1689</v>
      </c>
      <c r="F133" s="119" t="s">
        <v>1689</v>
      </c>
      <c r="G133" s="141" t="s">
        <v>2572</v>
      </c>
      <c r="H133" s="141" t="s">
        <v>413</v>
      </c>
      <c r="I133" s="141" t="s">
        <v>413</v>
      </c>
      <c r="J133" s="172">
        <v>0.12</v>
      </c>
      <c r="K133" s="141" t="s">
        <v>413</v>
      </c>
      <c r="L133" s="141" t="s">
        <v>413</v>
      </c>
      <c r="M133" s="141" t="s">
        <v>413</v>
      </c>
      <c r="Q133" s="141" t="s">
        <v>413</v>
      </c>
      <c r="R133" s="141" t="s">
        <v>413</v>
      </c>
      <c r="S133" s="143" t="s">
        <v>413</v>
      </c>
      <c r="T133" s="143">
        <v>0.00136</v>
      </c>
      <c r="U133" s="143" t="s">
        <v>413</v>
      </c>
      <c r="V133" s="143">
        <v>0</v>
      </c>
      <c r="W133" s="143" t="s">
        <v>413</v>
      </c>
      <c r="X133" s="143">
        <v>0</v>
      </c>
    </row>
    <row r="134" spans="1:24" s="141" customFormat="1" ht="15">
      <c r="A134" s="115"/>
      <c r="B134" s="116"/>
      <c r="C134" s="117"/>
      <c r="D134" s="118"/>
      <c r="E134" s="119"/>
      <c r="F134" s="119"/>
      <c r="G134" s="141" t="s">
        <v>2573</v>
      </c>
      <c r="J134" s="174">
        <v>0.12</v>
      </c>
      <c r="S134" s="143"/>
      <c r="T134" s="143">
        <v>0.0136</v>
      </c>
      <c r="U134" s="143" t="s">
        <v>413</v>
      </c>
      <c r="V134" s="143">
        <v>0.00166</v>
      </c>
      <c r="W134" s="143" t="s">
        <v>413</v>
      </c>
      <c r="X134" s="143">
        <v>0.00308</v>
      </c>
    </row>
    <row r="135" spans="1:24" s="84" customFormat="1" ht="28.5">
      <c r="A135" s="95" t="s">
        <v>748</v>
      </c>
      <c r="B135" s="96" t="s">
        <v>418</v>
      </c>
      <c r="C135" s="124" t="s">
        <v>1301</v>
      </c>
      <c r="D135" s="98"/>
      <c r="E135" s="99" t="s">
        <v>1689</v>
      </c>
      <c r="F135" s="99" t="s">
        <v>1689</v>
      </c>
      <c r="S135" s="130"/>
      <c r="T135" s="130"/>
      <c r="U135" s="130"/>
      <c r="V135" s="130"/>
      <c r="W135" s="130"/>
      <c r="X135" s="130"/>
    </row>
    <row r="136" spans="1:24" s="84" customFormat="1" ht="28.5">
      <c r="A136" s="95" t="s">
        <v>749</v>
      </c>
      <c r="B136" s="96" t="s">
        <v>418</v>
      </c>
      <c r="C136" s="124" t="s">
        <v>1302</v>
      </c>
      <c r="D136" s="98"/>
      <c r="E136" s="99" t="s">
        <v>1689</v>
      </c>
      <c r="F136" s="99" t="s">
        <v>1689</v>
      </c>
      <c r="S136" s="130"/>
      <c r="T136" s="130"/>
      <c r="U136" s="130"/>
      <c r="V136" s="130"/>
      <c r="W136" s="130"/>
      <c r="X136" s="130"/>
    </row>
    <row r="137" spans="1:24" s="84" customFormat="1" ht="28.5">
      <c r="A137" s="95" t="s">
        <v>750</v>
      </c>
      <c r="B137" s="96" t="s">
        <v>418</v>
      </c>
      <c r="C137" s="124" t="s">
        <v>1303</v>
      </c>
      <c r="D137" s="98"/>
      <c r="E137" s="99" t="s">
        <v>1689</v>
      </c>
      <c r="F137" s="99" t="s">
        <v>1689</v>
      </c>
      <c r="S137" s="130"/>
      <c r="T137" s="130"/>
      <c r="U137" s="130"/>
      <c r="V137" s="130"/>
      <c r="W137" s="130"/>
      <c r="X137" s="130"/>
    </row>
    <row r="138" spans="1:24" s="162" customFormat="1" ht="15">
      <c r="A138" s="105" t="s">
        <v>751</v>
      </c>
      <c r="B138" s="158" t="s">
        <v>418</v>
      </c>
      <c r="C138" s="159" t="s">
        <v>1304</v>
      </c>
      <c r="D138" s="160" t="s">
        <v>1914</v>
      </c>
      <c r="E138" s="161">
        <v>2560</v>
      </c>
      <c r="F138" s="161">
        <v>2686</v>
      </c>
      <c r="S138" s="184"/>
      <c r="T138" s="184"/>
      <c r="U138" s="184"/>
      <c r="V138" s="184"/>
      <c r="W138" s="184"/>
      <c r="X138" s="184"/>
    </row>
    <row r="139" spans="1:24" s="84" customFormat="1" ht="42.75">
      <c r="A139" s="95" t="s">
        <v>752</v>
      </c>
      <c r="B139" s="96" t="s">
        <v>418</v>
      </c>
      <c r="C139" s="97" t="s">
        <v>1305</v>
      </c>
      <c r="D139" s="98"/>
      <c r="E139" s="99">
        <v>2550</v>
      </c>
      <c r="F139" s="99">
        <v>2676</v>
      </c>
      <c r="S139" s="130"/>
      <c r="T139" s="130"/>
      <c r="U139" s="130"/>
      <c r="V139" s="130"/>
      <c r="W139" s="130"/>
      <c r="X139" s="130"/>
    </row>
    <row r="140" spans="1:24" s="168" customFormat="1" ht="28.5">
      <c r="A140" s="163" t="s">
        <v>753</v>
      </c>
      <c r="B140" s="164" t="s">
        <v>418</v>
      </c>
      <c r="C140" s="165" t="s">
        <v>1306</v>
      </c>
      <c r="D140" s="166" t="s">
        <v>1915</v>
      </c>
      <c r="E140" s="167">
        <v>640</v>
      </c>
      <c r="F140" s="167">
        <v>672</v>
      </c>
      <c r="S140" s="185"/>
      <c r="T140" s="185"/>
      <c r="U140" s="185"/>
      <c r="V140" s="185"/>
      <c r="W140" s="185"/>
      <c r="X140" s="185"/>
    </row>
    <row r="141" spans="1:24" s="84" customFormat="1" ht="85.5">
      <c r="A141" s="95" t="s">
        <v>754</v>
      </c>
      <c r="B141" s="96" t="s">
        <v>418</v>
      </c>
      <c r="C141" s="124" t="s">
        <v>1307</v>
      </c>
      <c r="D141" s="98"/>
      <c r="E141" s="99" t="s">
        <v>1689</v>
      </c>
      <c r="F141" s="99" t="s">
        <v>1689</v>
      </c>
      <c r="S141" s="130"/>
      <c r="T141" s="130"/>
      <c r="U141" s="130"/>
      <c r="V141" s="130"/>
      <c r="W141" s="130"/>
      <c r="X141" s="130"/>
    </row>
    <row r="142" spans="1:24" s="84" customFormat="1" ht="28.5">
      <c r="A142" s="95" t="s">
        <v>755</v>
      </c>
      <c r="B142" s="96" t="s">
        <v>418</v>
      </c>
      <c r="C142" s="124" t="s">
        <v>1308</v>
      </c>
      <c r="D142" s="98"/>
      <c r="E142" s="99" t="s">
        <v>1689</v>
      </c>
      <c r="F142" s="99" t="s">
        <v>1689</v>
      </c>
      <c r="L142" s="175"/>
      <c r="S142" s="130"/>
      <c r="T142" s="130"/>
      <c r="U142" s="130"/>
      <c r="V142" s="130"/>
      <c r="W142" s="130"/>
      <c r="X142" s="130"/>
    </row>
    <row r="143" spans="1:24" s="141" customFormat="1" ht="57">
      <c r="A143" s="115" t="s">
        <v>756</v>
      </c>
      <c r="B143" s="116" t="s">
        <v>418</v>
      </c>
      <c r="C143" s="117" t="s">
        <v>1309</v>
      </c>
      <c r="D143" s="118" t="s">
        <v>2137</v>
      </c>
      <c r="E143" s="119">
        <v>420</v>
      </c>
      <c r="F143" s="119">
        <v>441</v>
      </c>
      <c r="G143" s="141" t="s">
        <v>2574</v>
      </c>
      <c r="H143" s="141">
        <v>1063.7164280845261</v>
      </c>
      <c r="I143" s="141">
        <v>1048</v>
      </c>
      <c r="J143" s="172">
        <v>0.25</v>
      </c>
      <c r="K143" s="141" t="s">
        <v>2180</v>
      </c>
      <c r="L143" s="141" t="s">
        <v>2157</v>
      </c>
      <c r="M143" s="141" t="s">
        <v>2158</v>
      </c>
      <c r="N143" s="141" t="s">
        <v>2145</v>
      </c>
      <c r="O143" s="141" t="s">
        <v>2135</v>
      </c>
      <c r="P143" s="141" t="s">
        <v>2177</v>
      </c>
      <c r="Q143" s="141" t="s">
        <v>2136</v>
      </c>
      <c r="R143" s="141">
        <f>1+0.3+0.05</f>
        <v>1.35</v>
      </c>
      <c r="S143" s="143">
        <v>8.5688</v>
      </c>
      <c r="T143" s="143">
        <v>0.00806</v>
      </c>
      <c r="U143" s="143">
        <v>1.2918</v>
      </c>
      <c r="V143" s="143">
        <v>0.00121</v>
      </c>
      <c r="W143" s="143">
        <v>7150.583</v>
      </c>
      <c r="X143" s="143">
        <v>6.72224</v>
      </c>
    </row>
    <row r="144" spans="1:24" s="84" customFormat="1" ht="28.5">
      <c r="A144" s="95" t="s">
        <v>757</v>
      </c>
      <c r="B144" s="96" t="s">
        <v>418</v>
      </c>
      <c r="C144" s="124" t="s">
        <v>1310</v>
      </c>
      <c r="D144" s="98"/>
      <c r="E144" s="99" t="s">
        <v>1689</v>
      </c>
      <c r="F144" s="99" t="s">
        <v>1689</v>
      </c>
      <c r="S144" s="130"/>
      <c r="T144" s="130"/>
      <c r="U144" s="130"/>
      <c r="V144" s="130"/>
      <c r="W144" s="130"/>
      <c r="X144" s="130"/>
    </row>
    <row r="145" spans="1:24" s="84" customFormat="1" ht="57">
      <c r="A145" s="95" t="s">
        <v>758</v>
      </c>
      <c r="B145" s="96" t="s">
        <v>418</v>
      </c>
      <c r="C145" s="124" t="s">
        <v>1311</v>
      </c>
      <c r="D145" s="98"/>
      <c r="E145" s="99" t="s">
        <v>1689</v>
      </c>
      <c r="F145" s="99" t="s">
        <v>1689</v>
      </c>
      <c r="S145" s="130"/>
      <c r="T145" s="130"/>
      <c r="U145" s="130"/>
      <c r="V145" s="130"/>
      <c r="W145" s="130"/>
      <c r="X145" s="130"/>
    </row>
    <row r="146" spans="1:24" s="84" customFormat="1" ht="42.75">
      <c r="A146" s="95" t="s">
        <v>759</v>
      </c>
      <c r="B146" s="96" t="s">
        <v>418</v>
      </c>
      <c r="C146" s="124" t="s">
        <v>1312</v>
      </c>
      <c r="D146" s="98"/>
      <c r="E146" s="99" t="s">
        <v>1689</v>
      </c>
      <c r="F146" s="99" t="s">
        <v>1689</v>
      </c>
      <c r="S146" s="130"/>
      <c r="T146" s="130"/>
      <c r="U146" s="130"/>
      <c r="V146" s="130"/>
      <c r="W146" s="130"/>
      <c r="X146" s="130"/>
    </row>
    <row r="147" spans="1:24" s="168" customFormat="1" ht="28.5">
      <c r="A147" s="163" t="s">
        <v>760</v>
      </c>
      <c r="B147" s="164" t="s">
        <v>418</v>
      </c>
      <c r="C147" s="165" t="s">
        <v>1313</v>
      </c>
      <c r="D147" s="166" t="s">
        <v>1916</v>
      </c>
      <c r="E147" s="167">
        <v>990</v>
      </c>
      <c r="F147" s="167">
        <v>1039</v>
      </c>
      <c r="S147" s="185"/>
      <c r="T147" s="185"/>
      <c r="U147" s="185"/>
      <c r="V147" s="185"/>
      <c r="W147" s="185"/>
      <c r="X147" s="185"/>
    </row>
    <row r="148" spans="1:24" s="84" customFormat="1" ht="28.5">
      <c r="A148" s="95" t="s">
        <v>761</v>
      </c>
      <c r="B148" s="96" t="s">
        <v>418</v>
      </c>
      <c r="C148" s="124" t="s">
        <v>1314</v>
      </c>
      <c r="D148" s="98"/>
      <c r="E148" s="99" t="s">
        <v>1689</v>
      </c>
      <c r="F148" s="99" t="s">
        <v>1689</v>
      </c>
      <c r="S148" s="130"/>
      <c r="T148" s="130"/>
      <c r="U148" s="130"/>
      <c r="V148" s="130"/>
      <c r="W148" s="130"/>
      <c r="X148" s="130"/>
    </row>
    <row r="149" spans="1:24" s="84" customFormat="1" ht="28.5">
      <c r="A149" s="95" t="s">
        <v>762</v>
      </c>
      <c r="B149" s="96" t="s">
        <v>418</v>
      </c>
      <c r="C149" s="124" t="s">
        <v>1315</v>
      </c>
      <c r="D149" s="98"/>
      <c r="E149" s="99" t="s">
        <v>1689</v>
      </c>
      <c r="F149" s="99" t="s">
        <v>1689</v>
      </c>
      <c r="K149" s="144"/>
      <c r="S149" s="130"/>
      <c r="T149" s="130"/>
      <c r="U149" s="130"/>
      <c r="V149" s="130"/>
      <c r="W149" s="130"/>
      <c r="X149" s="130"/>
    </row>
    <row r="150" spans="1:24" s="141" customFormat="1" ht="71.25">
      <c r="A150" s="115" t="s">
        <v>763</v>
      </c>
      <c r="B150" s="116" t="s">
        <v>418</v>
      </c>
      <c r="C150" s="117" t="s">
        <v>1316</v>
      </c>
      <c r="D150" s="118" t="s">
        <v>2138</v>
      </c>
      <c r="E150" s="119">
        <v>660</v>
      </c>
      <c r="F150" s="119">
        <v>693</v>
      </c>
      <c r="G150" s="141" t="s">
        <v>2575</v>
      </c>
      <c r="H150" s="141">
        <v>3153.5944103612815</v>
      </c>
      <c r="I150" s="141">
        <v>3107</v>
      </c>
      <c r="J150" s="172">
        <v>0.25</v>
      </c>
      <c r="K150" s="141" t="s">
        <v>2181</v>
      </c>
      <c r="L150" s="141" t="s">
        <v>2159</v>
      </c>
      <c r="M150" s="141" t="s">
        <v>2160</v>
      </c>
      <c r="N150" s="141" t="s">
        <v>2145</v>
      </c>
      <c r="O150" s="141" t="s">
        <v>2135</v>
      </c>
      <c r="P150" s="141" t="s">
        <v>2178</v>
      </c>
      <c r="Q150" s="141" t="s">
        <v>2136</v>
      </c>
      <c r="R150" s="141">
        <v>1.35</v>
      </c>
      <c r="S150" s="143">
        <v>19.2449</v>
      </c>
      <c r="T150" s="143">
        <v>0.0061</v>
      </c>
      <c r="U150" s="143">
        <v>1.6567</v>
      </c>
      <c r="V150" s="143">
        <v>0.00053</v>
      </c>
      <c r="W150" s="143">
        <v>6303.9422</v>
      </c>
      <c r="X150" s="143">
        <v>1.99879</v>
      </c>
    </row>
    <row r="151" spans="1:24" s="84" customFormat="1" ht="28.5">
      <c r="A151" s="173" t="s">
        <v>1561</v>
      </c>
      <c r="B151" s="96" t="s">
        <v>418</v>
      </c>
      <c r="C151" s="97" t="s">
        <v>1560</v>
      </c>
      <c r="D151" s="98"/>
      <c r="E151" s="99" t="s">
        <v>1689</v>
      </c>
      <c r="F151" s="99" t="s">
        <v>1689</v>
      </c>
      <c r="S151" s="130"/>
      <c r="T151" s="130"/>
      <c r="U151" s="130"/>
      <c r="V151" s="130"/>
      <c r="W151" s="130"/>
      <c r="X151" s="130"/>
    </row>
    <row r="152" spans="1:24" s="84" customFormat="1" ht="57">
      <c r="A152" s="95" t="s">
        <v>764</v>
      </c>
      <c r="B152" s="96" t="s">
        <v>418</v>
      </c>
      <c r="C152" s="124" t="s">
        <v>1317</v>
      </c>
      <c r="D152" s="98"/>
      <c r="E152" s="99" t="s">
        <v>1689</v>
      </c>
      <c r="F152" s="99" t="s">
        <v>1689</v>
      </c>
      <c r="S152" s="130"/>
      <c r="T152" s="130"/>
      <c r="U152" s="130"/>
      <c r="V152" s="130"/>
      <c r="W152" s="130"/>
      <c r="X152" s="130"/>
    </row>
    <row r="153" spans="1:24" s="84" customFormat="1" ht="42.75">
      <c r="A153" s="95" t="s">
        <v>765</v>
      </c>
      <c r="B153" s="96" t="s">
        <v>418</v>
      </c>
      <c r="C153" s="124" t="s">
        <v>1318</v>
      </c>
      <c r="D153" s="98"/>
      <c r="E153" s="99" t="s">
        <v>1689</v>
      </c>
      <c r="F153" s="99" t="s">
        <v>1689</v>
      </c>
      <c r="S153" s="130"/>
      <c r="T153" s="130"/>
      <c r="U153" s="130"/>
      <c r="V153" s="130"/>
      <c r="W153" s="130"/>
      <c r="X153" s="130"/>
    </row>
    <row r="154" spans="1:24" s="168" customFormat="1" ht="57">
      <c r="A154" s="163" t="s">
        <v>766</v>
      </c>
      <c r="B154" s="164" t="s">
        <v>418</v>
      </c>
      <c r="C154" s="165" t="s">
        <v>1319</v>
      </c>
      <c r="D154" s="166" t="s">
        <v>1917</v>
      </c>
      <c r="E154" s="167">
        <v>220</v>
      </c>
      <c r="F154" s="167">
        <v>231</v>
      </c>
      <c r="S154" s="185"/>
      <c r="T154" s="185"/>
      <c r="U154" s="185"/>
      <c r="V154" s="185"/>
      <c r="W154" s="185"/>
      <c r="X154" s="185"/>
    </row>
    <row r="155" spans="1:24" s="84" customFormat="1" ht="85.5">
      <c r="A155" s="95" t="s">
        <v>767</v>
      </c>
      <c r="B155" s="96" t="s">
        <v>418</v>
      </c>
      <c r="C155" s="124" t="s">
        <v>1320</v>
      </c>
      <c r="D155" s="98"/>
      <c r="E155" s="99" t="s">
        <v>1689</v>
      </c>
      <c r="F155" s="99" t="s">
        <v>1689</v>
      </c>
      <c r="S155" s="130"/>
      <c r="T155" s="130"/>
      <c r="U155" s="130"/>
      <c r="V155" s="130"/>
      <c r="W155" s="130"/>
      <c r="X155" s="130"/>
    </row>
    <row r="156" spans="1:24" s="84" customFormat="1" ht="28.5">
      <c r="A156" s="95" t="s">
        <v>768</v>
      </c>
      <c r="B156" s="96" t="s">
        <v>418</v>
      </c>
      <c r="C156" s="124" t="s">
        <v>181</v>
      </c>
      <c r="D156" s="98"/>
      <c r="E156" s="99" t="s">
        <v>1689</v>
      </c>
      <c r="F156" s="99" t="s">
        <v>1689</v>
      </c>
      <c r="K156" s="144"/>
      <c r="S156" s="130"/>
      <c r="T156" s="130"/>
      <c r="U156" s="130"/>
      <c r="V156" s="130"/>
      <c r="W156" s="130"/>
      <c r="X156" s="130"/>
    </row>
    <row r="157" spans="1:24" s="141" customFormat="1" ht="71.25">
      <c r="A157" s="115" t="s">
        <v>769</v>
      </c>
      <c r="B157" s="116" t="s">
        <v>418</v>
      </c>
      <c r="C157" s="117" t="s">
        <v>182</v>
      </c>
      <c r="D157" s="118" t="s">
        <v>2139</v>
      </c>
      <c r="E157" s="119">
        <v>130</v>
      </c>
      <c r="F157" s="119">
        <v>136</v>
      </c>
      <c r="G157" s="141" t="s">
        <v>2576</v>
      </c>
      <c r="H157" s="141">
        <v>3203.329243353783</v>
      </c>
      <c r="I157" s="141">
        <v>3156</v>
      </c>
      <c r="J157" s="172">
        <v>0.25</v>
      </c>
      <c r="K157" s="141" t="s">
        <v>2182</v>
      </c>
      <c r="L157" s="141" t="s">
        <v>2161</v>
      </c>
      <c r="M157" s="141" t="s">
        <v>2162</v>
      </c>
      <c r="N157" s="141" t="s">
        <v>2145</v>
      </c>
      <c r="O157" s="141" t="s">
        <v>2135</v>
      </c>
      <c r="P157" s="141" t="s">
        <v>2179</v>
      </c>
      <c r="Q157" s="141" t="s">
        <v>2136</v>
      </c>
      <c r="R157" s="141">
        <v>1.35</v>
      </c>
      <c r="S157" s="143">
        <v>23.6314</v>
      </c>
      <c r="T157" s="143">
        <v>0.00738</v>
      </c>
      <c r="U157" s="143">
        <v>4.3224</v>
      </c>
      <c r="V157" s="143">
        <v>0.00135</v>
      </c>
      <c r="W157" s="143">
        <v>7770.5805</v>
      </c>
      <c r="X157" s="143">
        <v>2.4257</v>
      </c>
    </row>
    <row r="158" spans="1:24" s="84" customFormat="1" ht="28.5">
      <c r="A158" s="95" t="s">
        <v>770</v>
      </c>
      <c r="B158" s="96" t="s">
        <v>418</v>
      </c>
      <c r="C158" s="124" t="s">
        <v>183</v>
      </c>
      <c r="D158" s="98"/>
      <c r="E158" s="99" t="s">
        <v>1689</v>
      </c>
      <c r="F158" s="99" t="s">
        <v>1689</v>
      </c>
      <c r="S158" s="130"/>
      <c r="T158" s="130"/>
      <c r="U158" s="130"/>
      <c r="V158" s="130"/>
      <c r="W158" s="130"/>
      <c r="X158" s="130"/>
    </row>
    <row r="159" spans="1:24" s="84" customFormat="1" ht="57">
      <c r="A159" s="95" t="s">
        <v>771</v>
      </c>
      <c r="B159" s="96" t="s">
        <v>418</v>
      </c>
      <c r="C159" s="124" t="s">
        <v>184</v>
      </c>
      <c r="D159" s="98"/>
      <c r="E159" s="99" t="s">
        <v>1689</v>
      </c>
      <c r="F159" s="99" t="s">
        <v>1689</v>
      </c>
      <c r="S159" s="130"/>
      <c r="T159" s="130"/>
      <c r="U159" s="130"/>
      <c r="V159" s="130"/>
      <c r="W159" s="130"/>
      <c r="X159" s="130"/>
    </row>
    <row r="160" spans="1:24" s="84" customFormat="1" ht="42.75">
      <c r="A160" s="95" t="s">
        <v>772</v>
      </c>
      <c r="B160" s="96" t="s">
        <v>418</v>
      </c>
      <c r="C160" s="124" t="s">
        <v>185</v>
      </c>
      <c r="D160" s="98"/>
      <c r="E160" s="99">
        <v>0</v>
      </c>
      <c r="F160" s="99">
        <v>0</v>
      </c>
      <c r="S160" s="130"/>
      <c r="T160" s="130"/>
      <c r="U160" s="130"/>
      <c r="V160" s="130"/>
      <c r="W160" s="130"/>
      <c r="X160" s="130"/>
    </row>
    <row r="161" spans="1:24" s="168" customFormat="1" ht="15">
      <c r="A161" s="163" t="s">
        <v>773</v>
      </c>
      <c r="B161" s="164" t="s">
        <v>418</v>
      </c>
      <c r="C161" s="165" t="s">
        <v>186</v>
      </c>
      <c r="D161" s="166"/>
      <c r="E161" s="167">
        <v>700</v>
      </c>
      <c r="F161" s="167">
        <v>734</v>
      </c>
      <c r="S161" s="185"/>
      <c r="T161" s="185"/>
      <c r="U161" s="185"/>
      <c r="V161" s="185"/>
      <c r="W161" s="185"/>
      <c r="X161" s="185"/>
    </row>
    <row r="162" spans="1:24" s="84" customFormat="1" ht="85.5">
      <c r="A162" s="95" t="s">
        <v>774</v>
      </c>
      <c r="B162" s="96" t="s">
        <v>418</v>
      </c>
      <c r="C162" s="124" t="s">
        <v>187</v>
      </c>
      <c r="D162" s="98"/>
      <c r="E162" s="99" t="s">
        <v>1689</v>
      </c>
      <c r="F162" s="99" t="s">
        <v>1689</v>
      </c>
      <c r="S162" s="130"/>
      <c r="T162" s="130"/>
      <c r="U162" s="130"/>
      <c r="V162" s="130"/>
      <c r="W162" s="130"/>
      <c r="X162" s="130"/>
    </row>
    <row r="163" spans="1:24" s="84" customFormat="1" ht="28.5">
      <c r="A163" s="95" t="s">
        <v>775</v>
      </c>
      <c r="B163" s="96" t="s">
        <v>418</v>
      </c>
      <c r="C163" s="124" t="s">
        <v>188</v>
      </c>
      <c r="D163" s="98"/>
      <c r="E163" s="99" t="s">
        <v>1689</v>
      </c>
      <c r="F163" s="99" t="s">
        <v>1689</v>
      </c>
      <c r="S163" s="130"/>
      <c r="T163" s="130"/>
      <c r="U163" s="130"/>
      <c r="V163" s="130"/>
      <c r="W163" s="130"/>
      <c r="X163" s="130"/>
    </row>
    <row r="164" spans="1:24" s="84" customFormat="1" ht="57">
      <c r="A164" s="95" t="s">
        <v>776</v>
      </c>
      <c r="B164" s="96" t="s">
        <v>418</v>
      </c>
      <c r="C164" s="124" t="s">
        <v>189</v>
      </c>
      <c r="D164" s="98"/>
      <c r="E164" s="99">
        <v>510</v>
      </c>
      <c r="F164" s="99">
        <v>535</v>
      </c>
      <c r="S164" s="130"/>
      <c r="T164" s="130"/>
      <c r="U164" s="130"/>
      <c r="V164" s="130"/>
      <c r="W164" s="130"/>
      <c r="X164" s="130"/>
    </row>
    <row r="165" spans="1:24" s="84" customFormat="1" ht="42.75">
      <c r="A165" s="95" t="s">
        <v>777</v>
      </c>
      <c r="B165" s="96" t="s">
        <v>418</v>
      </c>
      <c r="C165" s="124" t="s">
        <v>190</v>
      </c>
      <c r="D165" s="98"/>
      <c r="E165" s="99" t="s">
        <v>1689</v>
      </c>
      <c r="F165" s="99" t="s">
        <v>1689</v>
      </c>
      <c r="S165" s="130"/>
      <c r="T165" s="130"/>
      <c r="U165" s="130"/>
      <c r="V165" s="130"/>
      <c r="W165" s="130"/>
      <c r="X165" s="130"/>
    </row>
    <row r="166" spans="1:24" s="84" customFormat="1" ht="57">
      <c r="A166" s="95" t="s">
        <v>778</v>
      </c>
      <c r="B166" s="96" t="s">
        <v>418</v>
      </c>
      <c r="C166" s="124" t="s">
        <v>191</v>
      </c>
      <c r="D166" s="98"/>
      <c r="E166" s="99" t="s">
        <v>1689</v>
      </c>
      <c r="F166" s="99" t="s">
        <v>1689</v>
      </c>
      <c r="S166" s="130"/>
      <c r="T166" s="130"/>
      <c r="U166" s="130"/>
      <c r="V166" s="130"/>
      <c r="W166" s="130"/>
      <c r="X166" s="130"/>
    </row>
    <row r="167" spans="1:24" s="84" customFormat="1" ht="42.75">
      <c r="A167" s="95" t="s">
        <v>779</v>
      </c>
      <c r="B167" s="96" t="s">
        <v>418</v>
      </c>
      <c r="C167" s="124" t="s">
        <v>192</v>
      </c>
      <c r="D167" s="98"/>
      <c r="E167" s="99" t="s">
        <v>1689</v>
      </c>
      <c r="F167" s="99" t="s">
        <v>1689</v>
      </c>
      <c r="S167" s="130"/>
      <c r="T167" s="130"/>
      <c r="U167" s="130"/>
      <c r="V167" s="130"/>
      <c r="W167" s="130"/>
      <c r="X167" s="130"/>
    </row>
    <row r="168" spans="1:24" s="141" customFormat="1" ht="57">
      <c r="A168" s="115" t="s">
        <v>780</v>
      </c>
      <c r="B168" s="116" t="s">
        <v>418</v>
      </c>
      <c r="C168" s="117" t="s">
        <v>193</v>
      </c>
      <c r="D168" s="118" t="s">
        <v>1918</v>
      </c>
      <c r="E168" s="119" t="s">
        <v>1689</v>
      </c>
      <c r="F168" s="119" t="s">
        <v>1689</v>
      </c>
      <c r="G168" s="141" t="s">
        <v>2577</v>
      </c>
      <c r="J168" s="141">
        <v>12</v>
      </c>
      <c r="S168" s="143" t="s">
        <v>413</v>
      </c>
      <c r="T168" s="143">
        <v>0.00135</v>
      </c>
      <c r="U168" s="143" t="s">
        <v>413</v>
      </c>
      <c r="V168" s="143">
        <v>0</v>
      </c>
      <c r="W168" s="143" t="s">
        <v>413</v>
      </c>
      <c r="X168" s="143">
        <v>0</v>
      </c>
    </row>
    <row r="169" spans="1:24" s="181" customFormat="1" ht="45">
      <c r="A169" s="176" t="s">
        <v>2578</v>
      </c>
      <c r="B169" s="177"/>
      <c r="C169" s="178"/>
      <c r="D169" s="179"/>
      <c r="E169" s="180"/>
      <c r="F169" s="180"/>
      <c r="G169" s="181" t="s">
        <v>2579</v>
      </c>
      <c r="J169" s="181">
        <v>25</v>
      </c>
      <c r="S169" s="187" t="s">
        <v>413</v>
      </c>
      <c r="T169" s="187">
        <v>0.00134</v>
      </c>
      <c r="U169" s="187" t="s">
        <v>413</v>
      </c>
      <c r="V169" s="187">
        <v>0</v>
      </c>
      <c r="W169" s="187" t="s">
        <v>413</v>
      </c>
      <c r="X169" s="187">
        <v>0</v>
      </c>
    </row>
    <row r="170" spans="19:24" s="84" customFormat="1" ht="14.25">
      <c r="S170" s="130"/>
      <c r="T170" s="130"/>
      <c r="U170" s="130"/>
      <c r="V170" s="130"/>
      <c r="W170" s="130"/>
      <c r="X170" s="130"/>
    </row>
    <row r="171" spans="19:24" s="84" customFormat="1" ht="14.25">
      <c r="S171" s="130"/>
      <c r="T171" s="130"/>
      <c r="U171" s="130"/>
      <c r="V171" s="130"/>
      <c r="W171" s="130"/>
      <c r="X171" s="130"/>
    </row>
    <row r="172" spans="19:24" s="84" customFormat="1" ht="14.25">
      <c r="S172" s="130"/>
      <c r="T172" s="130"/>
      <c r="U172" s="130"/>
      <c r="V172" s="130"/>
      <c r="W172" s="130"/>
      <c r="X172" s="130"/>
    </row>
    <row r="173" ht="12.75"/>
    <row r="174" ht="12.75"/>
    <row r="175" ht="12.75"/>
    <row r="185" spans="12:18" ht="12.75">
      <c r="L185" s="20"/>
      <c r="M185" s="20"/>
      <c r="N185" s="1"/>
      <c r="O185" s="645"/>
      <c r="P185" s="646"/>
      <c r="Q185" s="646"/>
      <c r="R185" s="1"/>
    </row>
    <row r="204" ht="13.5" customHeight="1"/>
    <row r="205" ht="13.5" customHeight="1"/>
    <row r="206" ht="13.5" customHeight="1"/>
    <row r="207" ht="13.5" customHeight="1"/>
    <row r="210" ht="19.5" customHeight="1"/>
    <row r="211" ht="19.5" customHeight="1"/>
    <row r="213" ht="12" customHeight="1"/>
    <row r="214" ht="12.75" customHeight="1"/>
    <row r="234" ht="12.75">
      <c r="F234" s="55"/>
    </row>
    <row r="235" ht="12.75">
      <c r="F235" s="55"/>
    </row>
    <row r="236" ht="12.75">
      <c r="F236" s="55"/>
    </row>
    <row r="237" ht="12.75">
      <c r="F237" s="55"/>
    </row>
    <row r="238" ht="12.75">
      <c r="F238" s="55"/>
    </row>
  </sheetData>
  <sheetProtection/>
  <mergeCells count="4">
    <mergeCell ref="K1:M1"/>
    <mergeCell ref="O1:Q1"/>
    <mergeCell ref="O185:Q185"/>
    <mergeCell ref="A1:D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9"/>
  <sheetViews>
    <sheetView zoomScalePageLayoutView="0" workbookViewId="0" topLeftCell="A1">
      <pane ySplit="1" topLeftCell="A2" activePane="bottomLeft" state="frozen"/>
      <selection pane="topLeft" activeCell="A1" sqref="A1"/>
      <selection pane="bottomLeft" activeCell="D9" sqref="D9"/>
    </sheetView>
  </sheetViews>
  <sheetFormatPr defaultColWidth="10.8515625" defaultRowHeight="12.75"/>
  <cols>
    <col min="1" max="6" width="10.8515625" style="0" customWidth="1"/>
    <col min="7" max="7" width="32.421875" style="0" customWidth="1"/>
    <col min="8" max="8" width="21.8515625" style="0" customWidth="1"/>
  </cols>
  <sheetData>
    <row r="1" spans="7:16" ht="25.5" customHeight="1">
      <c r="G1" s="1" t="s">
        <v>1712</v>
      </c>
      <c r="H1" s="1" t="s">
        <v>1711</v>
      </c>
      <c r="I1" s="18" t="s">
        <v>1708</v>
      </c>
      <c r="J1" s="645" t="s">
        <v>1709</v>
      </c>
      <c r="K1" s="646"/>
      <c r="L1" s="646"/>
      <c r="M1" s="1" t="s">
        <v>1710</v>
      </c>
      <c r="N1" s="645" t="s">
        <v>1713</v>
      </c>
      <c r="O1" s="646"/>
      <c r="P1" s="646"/>
    </row>
    <row r="2" spans="1:6" s="203" customFormat="1" ht="31.5">
      <c r="A2" s="21" t="s">
        <v>1061</v>
      </c>
      <c r="B2" s="202" t="s">
        <v>418</v>
      </c>
      <c r="C2" s="22" t="s">
        <v>1471</v>
      </c>
      <c r="D2" s="24" t="s">
        <v>2077</v>
      </c>
      <c r="E2" s="23" t="s">
        <v>1689</v>
      </c>
      <c r="F2" s="23" t="s">
        <v>1689</v>
      </c>
    </row>
    <row r="3" spans="1:6" ht="51">
      <c r="A3" s="4" t="s">
        <v>1062</v>
      </c>
      <c r="B3" s="5" t="s">
        <v>418</v>
      </c>
      <c r="C3" s="2" t="s">
        <v>1472</v>
      </c>
      <c r="D3" s="3" t="s">
        <v>2011</v>
      </c>
      <c r="E3" s="25" t="s">
        <v>1689</v>
      </c>
      <c r="F3" s="25" t="s">
        <v>1689</v>
      </c>
    </row>
    <row r="4" spans="1:6" ht="51">
      <c r="A4" s="4" t="s">
        <v>1063</v>
      </c>
      <c r="B4" s="5" t="s">
        <v>418</v>
      </c>
      <c r="C4" s="2" t="s">
        <v>1473</v>
      </c>
      <c r="D4" s="3" t="s">
        <v>2012</v>
      </c>
      <c r="E4" s="25" t="s">
        <v>1689</v>
      </c>
      <c r="F4" s="25" t="s">
        <v>1689</v>
      </c>
    </row>
    <row r="5" spans="1:6" ht="38.25">
      <c r="A5" s="4" t="s">
        <v>1064</v>
      </c>
      <c r="B5" s="5" t="s">
        <v>418</v>
      </c>
      <c r="C5" s="2" t="s">
        <v>1474</v>
      </c>
      <c r="D5" s="3" t="s">
        <v>2013</v>
      </c>
      <c r="E5" s="25">
        <v>0</v>
      </c>
      <c r="F5" s="25">
        <v>0</v>
      </c>
    </row>
    <row r="6" spans="1:6" ht="12.75">
      <c r="A6" s="4" t="s">
        <v>1065</v>
      </c>
      <c r="B6" s="5" t="s">
        <v>418</v>
      </c>
      <c r="C6" s="2" t="s">
        <v>1475</v>
      </c>
      <c r="D6" s="3"/>
      <c r="E6" s="25">
        <v>0</v>
      </c>
      <c r="F6" s="25">
        <v>0</v>
      </c>
    </row>
    <row r="7" spans="1:6" ht="25.5">
      <c r="A7" s="4" t="s">
        <v>1066</v>
      </c>
      <c r="B7" s="5" t="s">
        <v>418</v>
      </c>
      <c r="C7" s="2" t="s">
        <v>1476</v>
      </c>
      <c r="D7" s="3"/>
      <c r="E7" s="25">
        <v>0</v>
      </c>
      <c r="F7" s="25">
        <v>0</v>
      </c>
    </row>
    <row r="8" spans="1:6" ht="63.75">
      <c r="A8" s="4" t="s">
        <v>1067</v>
      </c>
      <c r="B8" s="5" t="s">
        <v>418</v>
      </c>
      <c r="C8" s="2" t="s">
        <v>1477</v>
      </c>
      <c r="D8" s="3" t="s">
        <v>2014</v>
      </c>
      <c r="E8" s="25" t="s">
        <v>1689</v>
      </c>
      <c r="F8" s="25" t="s">
        <v>1689</v>
      </c>
    </row>
    <row r="9" spans="1:6" ht="38.25">
      <c r="A9" s="4" t="s">
        <v>1068</v>
      </c>
      <c r="B9" s="5" t="s">
        <v>418</v>
      </c>
      <c r="C9" s="2" t="s">
        <v>1478</v>
      </c>
      <c r="D9" s="3" t="s">
        <v>2015</v>
      </c>
      <c r="E9" s="25" t="s">
        <v>1689</v>
      </c>
      <c r="F9" s="25" t="s">
        <v>1689</v>
      </c>
    </row>
  </sheetData>
  <sheetProtection/>
  <mergeCells count="2">
    <mergeCell ref="J1:L1"/>
    <mergeCell ref="N1:P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1535"/>
  <sheetViews>
    <sheetView zoomScale="90" zoomScaleNormal="90" zoomScalePageLayoutView="0" workbookViewId="0" topLeftCell="A1">
      <pane ySplit="1" topLeftCell="A195" activePane="bottomLeft" state="frozen"/>
      <selection pane="topLeft" activeCell="A1" sqref="A1"/>
      <selection pane="bottomLeft" activeCell="A234" sqref="A234"/>
    </sheetView>
  </sheetViews>
  <sheetFormatPr defaultColWidth="8.8515625" defaultRowHeight="12.75"/>
  <cols>
    <col min="1" max="1" width="23.00390625" style="603" bestFit="1" customWidth="1"/>
    <col min="2" max="2" width="11.7109375" style="603" customWidth="1"/>
    <col min="3" max="3" width="26.421875" style="603" customWidth="1"/>
    <col min="4" max="4" width="17.7109375" style="603" customWidth="1"/>
    <col min="5" max="5" width="20.421875" style="603" customWidth="1"/>
    <col min="6" max="6" width="20.00390625" style="603" customWidth="1"/>
    <col min="7" max="7" width="28.57421875" style="603" customWidth="1"/>
    <col min="8" max="8" width="38.8515625" style="605" customWidth="1"/>
    <col min="9" max="9" width="43.00390625" style="603" customWidth="1"/>
    <col min="10" max="10" width="27.140625" style="604" customWidth="1"/>
    <col min="11" max="11" width="18.421875" style="473" customWidth="1"/>
    <col min="12" max="12" width="18.57421875" style="473" customWidth="1"/>
    <col min="13" max="13" width="20.57421875" style="473" customWidth="1"/>
    <col min="14" max="14" width="15.421875" style="603" customWidth="1"/>
    <col min="15" max="15" width="48.57421875" style="603" customWidth="1"/>
    <col min="16" max="16" width="20.00390625" style="473" customWidth="1"/>
    <col min="17" max="17" width="28.421875" style="473" customWidth="1"/>
    <col min="18" max="18" width="51.421875" style="473" customWidth="1"/>
    <col min="19" max="19" width="11.57421875" style="628" customWidth="1"/>
    <col min="20" max="20" width="14.8515625" style="628" customWidth="1"/>
    <col min="21" max="21" width="17.140625" style="628" customWidth="1"/>
    <col min="22" max="22" width="19.421875" style="628" customWidth="1"/>
    <col min="23" max="23" width="15.00390625" style="628" customWidth="1"/>
    <col min="24" max="24" width="14.7109375" style="629" customWidth="1"/>
    <col min="25" max="16384" width="8.8515625" style="262" customWidth="1"/>
  </cols>
  <sheetData>
    <row r="1" spans="1:24" s="333" customFormat="1" ht="55.5" customHeight="1">
      <c r="A1" s="647" t="s">
        <v>2625</v>
      </c>
      <c r="B1" s="647"/>
      <c r="C1" s="647"/>
      <c r="D1" s="647"/>
      <c r="E1" s="79" t="s">
        <v>2626</v>
      </c>
      <c r="F1" s="79" t="s">
        <v>2627</v>
      </c>
      <c r="G1" s="469" t="s">
        <v>1712</v>
      </c>
      <c r="H1" s="470" t="s">
        <v>2084</v>
      </c>
      <c r="I1" s="469" t="s">
        <v>2083</v>
      </c>
      <c r="J1" s="471" t="s">
        <v>2660</v>
      </c>
      <c r="K1" s="648" t="s">
        <v>1709</v>
      </c>
      <c r="L1" s="649"/>
      <c r="M1" s="649"/>
      <c r="N1" s="469" t="s">
        <v>1710</v>
      </c>
      <c r="O1" s="650" t="s">
        <v>1713</v>
      </c>
      <c r="P1" s="651"/>
      <c r="Q1" s="651"/>
      <c r="R1" s="472" t="s">
        <v>2661</v>
      </c>
      <c r="S1" s="607" t="s">
        <v>2527</v>
      </c>
      <c r="T1" s="607" t="s">
        <v>2528</v>
      </c>
      <c r="U1" s="607" t="s">
        <v>2529</v>
      </c>
      <c r="V1" s="607" t="s">
        <v>2530</v>
      </c>
      <c r="W1" s="607" t="s">
        <v>2662</v>
      </c>
      <c r="X1" s="608" t="s">
        <v>2531</v>
      </c>
    </row>
    <row r="2" spans="1:24" s="316" customFormat="1" ht="60">
      <c r="A2" s="474" t="s">
        <v>536</v>
      </c>
      <c r="B2" s="475" t="s">
        <v>418</v>
      </c>
      <c r="C2" s="476" t="s">
        <v>1230</v>
      </c>
      <c r="D2" s="477" t="s">
        <v>1783</v>
      </c>
      <c r="E2" s="478">
        <v>37450</v>
      </c>
      <c r="F2" s="478">
        <v>39728</v>
      </c>
      <c r="G2" s="479"/>
      <c r="H2" s="480"/>
      <c r="I2" s="481"/>
      <c r="J2" s="482"/>
      <c r="K2" s="483"/>
      <c r="L2" s="483"/>
      <c r="M2" s="483"/>
      <c r="N2" s="481"/>
      <c r="O2" s="481"/>
      <c r="P2" s="483"/>
      <c r="Q2" s="483"/>
      <c r="R2" s="483"/>
      <c r="S2" s="609"/>
      <c r="T2" s="609"/>
      <c r="U2" s="609"/>
      <c r="V2" s="609"/>
      <c r="W2" s="609"/>
      <c r="X2" s="610"/>
    </row>
    <row r="3" spans="1:24" s="303" customFormat="1" ht="15">
      <c r="A3" s="383" t="s">
        <v>537</v>
      </c>
      <c r="B3" s="384" t="s">
        <v>418</v>
      </c>
      <c r="C3" s="385" t="s">
        <v>1231</v>
      </c>
      <c r="D3" s="385" t="s">
        <v>1784</v>
      </c>
      <c r="E3" s="387">
        <v>34570</v>
      </c>
      <c r="F3" s="387">
        <v>36774</v>
      </c>
      <c r="G3" s="384"/>
      <c r="H3" s="484"/>
      <c r="I3" s="384"/>
      <c r="J3" s="485"/>
      <c r="K3" s="394"/>
      <c r="L3" s="394"/>
      <c r="M3" s="394"/>
      <c r="N3" s="384"/>
      <c r="O3" s="384"/>
      <c r="P3" s="394"/>
      <c r="Q3" s="394"/>
      <c r="R3" s="394"/>
      <c r="S3" s="395"/>
      <c r="T3" s="395"/>
      <c r="U3" s="395"/>
      <c r="V3" s="395"/>
      <c r="W3" s="395"/>
      <c r="X3" s="425"/>
    </row>
    <row r="4" spans="1:24" s="334" customFormat="1" ht="45">
      <c r="A4" s="398" t="s">
        <v>538</v>
      </c>
      <c r="B4" s="399" t="s">
        <v>418</v>
      </c>
      <c r="C4" s="400" t="s">
        <v>1232</v>
      </c>
      <c r="D4" s="401" t="s">
        <v>1797</v>
      </c>
      <c r="E4" s="402">
        <v>5400</v>
      </c>
      <c r="F4" s="402">
        <v>5489</v>
      </c>
      <c r="G4" s="399"/>
      <c r="H4" s="486"/>
      <c r="I4" s="399"/>
      <c r="J4" s="487"/>
      <c r="K4" s="409"/>
      <c r="L4" s="409"/>
      <c r="M4" s="409"/>
      <c r="N4" s="399"/>
      <c r="O4" s="399"/>
      <c r="P4" s="409"/>
      <c r="Q4" s="409"/>
      <c r="R4" s="409"/>
      <c r="S4" s="410"/>
      <c r="T4" s="410"/>
      <c r="U4" s="410"/>
      <c r="V4" s="410"/>
      <c r="W4" s="410"/>
      <c r="X4" s="433"/>
    </row>
    <row r="5" spans="1:24" s="335" customFormat="1" ht="28.5">
      <c r="A5" s="488" t="s">
        <v>539</v>
      </c>
      <c r="B5" s="489" t="s">
        <v>418</v>
      </c>
      <c r="C5" s="490" t="s">
        <v>1233</v>
      </c>
      <c r="D5" s="491" t="s">
        <v>2068</v>
      </c>
      <c r="E5" s="492">
        <v>240</v>
      </c>
      <c r="F5" s="492">
        <v>244</v>
      </c>
      <c r="G5" s="489"/>
      <c r="H5" s="493"/>
      <c r="I5" s="489"/>
      <c r="J5" s="494"/>
      <c r="K5" s="495"/>
      <c r="L5" s="495"/>
      <c r="M5" s="495"/>
      <c r="N5" s="489"/>
      <c r="O5" s="489"/>
      <c r="P5" s="495"/>
      <c r="Q5" s="495"/>
      <c r="R5" s="495"/>
      <c r="S5" s="611"/>
      <c r="T5" s="611"/>
      <c r="U5" s="611"/>
      <c r="V5" s="611"/>
      <c r="W5" s="611"/>
      <c r="X5" s="612"/>
    </row>
    <row r="6" spans="1:24" s="336" customFormat="1" ht="15">
      <c r="A6" s="351" t="s">
        <v>540</v>
      </c>
      <c r="B6" s="352" t="s">
        <v>418</v>
      </c>
      <c r="C6" s="353" t="s">
        <v>1234</v>
      </c>
      <c r="D6" s="354" t="s">
        <v>1785</v>
      </c>
      <c r="E6" s="355">
        <v>140</v>
      </c>
      <c r="F6" s="355">
        <v>142</v>
      </c>
      <c r="G6" s="352" t="s">
        <v>2089</v>
      </c>
      <c r="H6" s="357">
        <v>20.117277355024925</v>
      </c>
      <c r="I6" s="352">
        <v>20.95</v>
      </c>
      <c r="J6" s="496">
        <v>0.12</v>
      </c>
      <c r="K6" s="363"/>
      <c r="L6" s="363">
        <f>1/0.86</f>
        <v>1.1627906976744187</v>
      </c>
      <c r="M6" s="363"/>
      <c r="N6" s="352" t="s">
        <v>2086</v>
      </c>
      <c r="O6" s="352" t="s">
        <v>2085</v>
      </c>
      <c r="P6" s="363"/>
      <c r="Q6" s="363"/>
      <c r="R6" s="380">
        <f>L6+0.031</f>
        <v>1.1937906976744186</v>
      </c>
      <c r="S6" s="348">
        <v>6.2956</v>
      </c>
      <c r="T6" s="348">
        <v>0.3129</v>
      </c>
      <c r="U6" s="348">
        <v>1.7545</v>
      </c>
      <c r="V6" s="348">
        <v>0.0872</v>
      </c>
      <c r="W6" s="348">
        <v>269.9659</v>
      </c>
      <c r="X6" s="416">
        <v>13.41779</v>
      </c>
    </row>
    <row r="7" spans="1:24" s="303" customFormat="1" ht="15">
      <c r="A7" s="383" t="s">
        <v>541</v>
      </c>
      <c r="B7" s="384" t="s">
        <v>418</v>
      </c>
      <c r="C7" s="385" t="s">
        <v>1235</v>
      </c>
      <c r="D7" s="386"/>
      <c r="E7" s="387">
        <v>110</v>
      </c>
      <c r="F7" s="387">
        <v>112</v>
      </c>
      <c r="G7" s="384"/>
      <c r="H7" s="484"/>
      <c r="I7" s="384"/>
      <c r="J7" s="485"/>
      <c r="K7" s="394"/>
      <c r="L7" s="394"/>
      <c r="M7" s="394"/>
      <c r="N7" s="384"/>
      <c r="O7" s="384"/>
      <c r="P7" s="394"/>
      <c r="Q7" s="394"/>
      <c r="R7" s="394"/>
      <c r="S7" s="395"/>
      <c r="T7" s="395"/>
      <c r="U7" s="395"/>
      <c r="V7" s="395"/>
      <c r="W7" s="395"/>
      <c r="X7" s="425"/>
    </row>
    <row r="8" spans="1:24" s="335" customFormat="1" ht="15">
      <c r="A8" s="488" t="s">
        <v>542</v>
      </c>
      <c r="B8" s="489" t="s">
        <v>418</v>
      </c>
      <c r="C8" s="490" t="s">
        <v>1236</v>
      </c>
      <c r="D8" s="491" t="s">
        <v>1788</v>
      </c>
      <c r="E8" s="492">
        <v>2150</v>
      </c>
      <c r="F8" s="492">
        <v>2185</v>
      </c>
      <c r="G8" s="489"/>
      <c r="H8" s="493"/>
      <c r="I8" s="489"/>
      <c r="J8" s="494"/>
      <c r="K8" s="495"/>
      <c r="L8" s="495"/>
      <c r="M8" s="495"/>
      <c r="N8" s="489"/>
      <c r="O8" s="489"/>
      <c r="P8" s="495"/>
      <c r="Q8" s="495"/>
      <c r="R8" s="495"/>
      <c r="S8" s="611"/>
      <c r="T8" s="611"/>
      <c r="U8" s="611"/>
      <c r="V8" s="611"/>
      <c r="W8" s="611"/>
      <c r="X8" s="612"/>
    </row>
    <row r="9" spans="1:24" s="303" customFormat="1" ht="15">
      <c r="A9" s="383" t="s">
        <v>543</v>
      </c>
      <c r="B9" s="384" t="s">
        <v>418</v>
      </c>
      <c r="C9" s="385" t="s">
        <v>1237</v>
      </c>
      <c r="D9" s="386"/>
      <c r="E9" s="387">
        <v>180</v>
      </c>
      <c r="F9" s="387">
        <v>183</v>
      </c>
      <c r="G9" s="384"/>
      <c r="H9" s="484"/>
      <c r="I9" s="384"/>
      <c r="J9" s="485"/>
      <c r="K9" s="394"/>
      <c r="L9" s="394"/>
      <c r="M9" s="394"/>
      <c r="N9" s="384"/>
      <c r="O9" s="384"/>
      <c r="P9" s="394"/>
      <c r="Q9" s="394"/>
      <c r="R9" s="394"/>
      <c r="S9" s="395"/>
      <c r="T9" s="395"/>
      <c r="U9" s="395"/>
      <c r="V9" s="395"/>
      <c r="W9" s="395"/>
      <c r="X9" s="425"/>
    </row>
    <row r="10" spans="1:24" s="303" customFormat="1" ht="15">
      <c r="A10" s="383" t="s">
        <v>544</v>
      </c>
      <c r="B10" s="384" t="s">
        <v>418</v>
      </c>
      <c r="C10" s="385" t="s">
        <v>1238</v>
      </c>
      <c r="D10" s="386"/>
      <c r="E10" s="387" t="s">
        <v>1689</v>
      </c>
      <c r="F10" s="387" t="s">
        <v>1689</v>
      </c>
      <c r="G10" s="384"/>
      <c r="H10" s="484"/>
      <c r="I10" s="384"/>
      <c r="J10" s="485"/>
      <c r="K10" s="394"/>
      <c r="L10" s="394"/>
      <c r="M10" s="394"/>
      <c r="N10" s="384"/>
      <c r="O10" s="384"/>
      <c r="P10" s="394"/>
      <c r="Q10" s="394"/>
      <c r="R10" s="394"/>
      <c r="S10" s="395"/>
      <c r="T10" s="395"/>
      <c r="U10" s="395"/>
      <c r="V10" s="395"/>
      <c r="W10" s="395"/>
      <c r="X10" s="425"/>
    </row>
    <row r="11" spans="1:24" s="303" customFormat="1" ht="15">
      <c r="A11" s="383" t="s">
        <v>545</v>
      </c>
      <c r="B11" s="384" t="s">
        <v>418</v>
      </c>
      <c r="C11" s="385" t="s">
        <v>1239</v>
      </c>
      <c r="D11" s="386"/>
      <c r="E11" s="387">
        <v>50</v>
      </c>
      <c r="F11" s="387">
        <v>51</v>
      </c>
      <c r="G11" s="384"/>
      <c r="H11" s="484"/>
      <c r="I11" s="384"/>
      <c r="J11" s="485"/>
      <c r="K11" s="394"/>
      <c r="L11" s="394"/>
      <c r="M11" s="394"/>
      <c r="N11" s="384"/>
      <c r="O11" s="384"/>
      <c r="P11" s="394"/>
      <c r="Q11" s="394"/>
      <c r="R11" s="394"/>
      <c r="S11" s="395"/>
      <c r="T11" s="395"/>
      <c r="U11" s="395"/>
      <c r="V11" s="395"/>
      <c r="W11" s="395"/>
      <c r="X11" s="425"/>
    </row>
    <row r="12" spans="1:24" s="336" customFormat="1" ht="15">
      <c r="A12" s="351" t="s">
        <v>546</v>
      </c>
      <c r="B12" s="352" t="s">
        <v>418</v>
      </c>
      <c r="C12" s="353" t="s">
        <v>1557</v>
      </c>
      <c r="D12" s="354" t="s">
        <v>2663</v>
      </c>
      <c r="E12" s="355">
        <v>1890</v>
      </c>
      <c r="F12" s="355">
        <v>1921</v>
      </c>
      <c r="G12" s="352" t="s">
        <v>2090</v>
      </c>
      <c r="H12" s="357">
        <v>38.3140509052742</v>
      </c>
      <c r="I12" s="352">
        <v>39.9</v>
      </c>
      <c r="J12" s="496">
        <v>0.12</v>
      </c>
      <c r="K12" s="363" t="s">
        <v>2120</v>
      </c>
      <c r="L12" s="363" t="s">
        <v>2121</v>
      </c>
      <c r="M12" s="363"/>
      <c r="N12" s="352" t="s">
        <v>1751</v>
      </c>
      <c r="O12" s="352" t="s">
        <v>2664</v>
      </c>
      <c r="P12" s="363" t="s">
        <v>2665</v>
      </c>
      <c r="Q12" s="363"/>
      <c r="R12" s="363">
        <f>1+0.012</f>
        <v>1.012</v>
      </c>
      <c r="S12" s="348">
        <v>1.0793</v>
      </c>
      <c r="T12" s="348">
        <v>0.02817</v>
      </c>
      <c r="U12" s="348">
        <v>1.6079</v>
      </c>
      <c r="V12" s="348">
        <v>0.04197</v>
      </c>
      <c r="W12" s="348">
        <v>2.5448</v>
      </c>
      <c r="X12" s="416">
        <v>0.06643</v>
      </c>
    </row>
    <row r="13" spans="1:24" s="303" customFormat="1" ht="15">
      <c r="A13" s="383" t="s">
        <v>419</v>
      </c>
      <c r="B13" s="384" t="s">
        <v>418</v>
      </c>
      <c r="C13" s="385" t="s">
        <v>1240</v>
      </c>
      <c r="D13" s="386"/>
      <c r="E13" s="387">
        <v>380</v>
      </c>
      <c r="F13" s="387">
        <v>386</v>
      </c>
      <c r="G13" s="384"/>
      <c r="H13" s="484"/>
      <c r="I13" s="384"/>
      <c r="J13" s="485"/>
      <c r="K13" s="394"/>
      <c r="L13" s="394"/>
      <c r="M13" s="394"/>
      <c r="N13" s="384"/>
      <c r="O13" s="384"/>
      <c r="P13" s="394"/>
      <c r="Q13" s="394"/>
      <c r="R13" s="394"/>
      <c r="S13" s="395"/>
      <c r="T13" s="395"/>
      <c r="U13" s="395"/>
      <c r="V13" s="395"/>
      <c r="W13" s="395"/>
      <c r="X13" s="425"/>
    </row>
    <row r="14" spans="1:24" s="303" customFormat="1" ht="15">
      <c r="A14" s="383" t="s">
        <v>420</v>
      </c>
      <c r="B14" s="384" t="s">
        <v>418</v>
      </c>
      <c r="C14" s="385" t="s">
        <v>1241</v>
      </c>
      <c r="D14" s="386"/>
      <c r="E14" s="387">
        <v>640</v>
      </c>
      <c r="F14" s="387">
        <v>650</v>
      </c>
      <c r="G14" s="384"/>
      <c r="H14" s="484"/>
      <c r="I14" s="384"/>
      <c r="J14" s="485"/>
      <c r="K14" s="394"/>
      <c r="L14" s="394"/>
      <c r="M14" s="394"/>
      <c r="N14" s="384"/>
      <c r="O14" s="384"/>
      <c r="P14" s="394"/>
      <c r="Q14" s="394"/>
      <c r="R14" s="394"/>
      <c r="S14" s="395"/>
      <c r="T14" s="395"/>
      <c r="U14" s="395"/>
      <c r="V14" s="395"/>
      <c r="W14" s="395"/>
      <c r="X14" s="425"/>
    </row>
    <row r="15" spans="1:24" s="303" customFormat="1" ht="15">
      <c r="A15" s="383" t="s">
        <v>421</v>
      </c>
      <c r="B15" s="384" t="s">
        <v>418</v>
      </c>
      <c r="C15" s="385" t="s">
        <v>1242</v>
      </c>
      <c r="D15" s="386"/>
      <c r="E15" s="387">
        <v>550</v>
      </c>
      <c r="F15" s="387">
        <v>559</v>
      </c>
      <c r="G15" s="384"/>
      <c r="H15" s="484"/>
      <c r="I15" s="384"/>
      <c r="J15" s="485"/>
      <c r="K15" s="394"/>
      <c r="L15" s="394"/>
      <c r="M15" s="394"/>
      <c r="N15" s="384"/>
      <c r="O15" s="384"/>
      <c r="P15" s="394"/>
      <c r="Q15" s="394"/>
      <c r="R15" s="394"/>
      <c r="S15" s="395"/>
      <c r="T15" s="395"/>
      <c r="U15" s="395"/>
      <c r="V15" s="395"/>
      <c r="W15" s="395"/>
      <c r="X15" s="425"/>
    </row>
    <row r="16" spans="1:24" s="335" customFormat="1" ht="71.25">
      <c r="A16" s="488" t="s">
        <v>547</v>
      </c>
      <c r="B16" s="489" t="s">
        <v>418</v>
      </c>
      <c r="C16" s="490" t="s">
        <v>1243</v>
      </c>
      <c r="D16" s="491" t="s">
        <v>1808</v>
      </c>
      <c r="E16" s="492">
        <v>390</v>
      </c>
      <c r="F16" s="492">
        <v>396</v>
      </c>
      <c r="G16" s="489"/>
      <c r="H16" s="493"/>
      <c r="I16" s="489"/>
      <c r="J16" s="494"/>
      <c r="K16" s="495"/>
      <c r="L16" s="495"/>
      <c r="M16" s="495"/>
      <c r="N16" s="489"/>
      <c r="O16" s="489"/>
      <c r="P16" s="495"/>
      <c r="Q16" s="495"/>
      <c r="R16" s="495"/>
      <c r="S16" s="611"/>
      <c r="T16" s="611"/>
      <c r="U16" s="611"/>
      <c r="V16" s="611"/>
      <c r="W16" s="611"/>
      <c r="X16" s="612"/>
    </row>
    <row r="17" spans="1:24" s="336" customFormat="1" ht="57">
      <c r="A17" s="351" t="s">
        <v>548</v>
      </c>
      <c r="B17" s="352" t="s">
        <v>418</v>
      </c>
      <c r="C17" s="353" t="s">
        <v>1244</v>
      </c>
      <c r="D17" s="354" t="s">
        <v>1809</v>
      </c>
      <c r="E17" s="355">
        <v>270</v>
      </c>
      <c r="F17" s="355">
        <v>274</v>
      </c>
      <c r="G17" s="352" t="s">
        <v>1716</v>
      </c>
      <c r="H17" s="357">
        <v>13.347501443190763</v>
      </c>
      <c r="I17" s="352">
        <v>13.9</v>
      </c>
      <c r="J17" s="496">
        <v>0.12</v>
      </c>
      <c r="K17" s="363" t="s">
        <v>2666</v>
      </c>
      <c r="L17" s="363" t="s">
        <v>2667</v>
      </c>
      <c r="M17" s="363"/>
      <c r="N17" s="352" t="s">
        <v>1756</v>
      </c>
      <c r="O17" s="352" t="s">
        <v>1715</v>
      </c>
      <c r="P17" s="363" t="s">
        <v>1717</v>
      </c>
      <c r="Q17" s="363" t="s">
        <v>1718</v>
      </c>
      <c r="R17" s="363">
        <f>1+0.006</f>
        <v>1.006</v>
      </c>
      <c r="S17" s="348">
        <v>1.2317</v>
      </c>
      <c r="T17" s="348">
        <v>0.09227</v>
      </c>
      <c r="U17" s="348">
        <v>1.7741</v>
      </c>
      <c r="V17" s="348">
        <v>0.13289</v>
      </c>
      <c r="W17" s="348">
        <v>3.381</v>
      </c>
      <c r="X17" s="416">
        <v>0.25326</v>
      </c>
    </row>
    <row r="18" spans="1:24" s="336" customFormat="1" ht="57">
      <c r="A18" s="351" t="s">
        <v>549</v>
      </c>
      <c r="B18" s="352" t="s">
        <v>418</v>
      </c>
      <c r="C18" s="353" t="s">
        <v>1245</v>
      </c>
      <c r="D18" s="354" t="s">
        <v>1810</v>
      </c>
      <c r="E18" s="355">
        <v>120</v>
      </c>
      <c r="F18" s="355">
        <v>122</v>
      </c>
      <c r="G18" s="352" t="s">
        <v>2668</v>
      </c>
      <c r="H18" s="357">
        <v>40.628257990028864</v>
      </c>
      <c r="I18" s="497">
        <v>42.31</v>
      </c>
      <c r="J18" s="496">
        <v>0.12</v>
      </c>
      <c r="K18" s="363" t="s">
        <v>2669</v>
      </c>
      <c r="L18" s="363" t="s">
        <v>2670</v>
      </c>
      <c r="M18" s="363"/>
      <c r="N18" s="352" t="s">
        <v>1756</v>
      </c>
      <c r="O18" s="352" t="s">
        <v>1732</v>
      </c>
      <c r="P18" s="363" t="s">
        <v>1759</v>
      </c>
      <c r="Q18" s="363" t="s">
        <v>1771</v>
      </c>
      <c r="R18" s="363">
        <f>1+0.097+0.05</f>
        <v>1.147</v>
      </c>
      <c r="S18" s="348">
        <v>2.3507</v>
      </c>
      <c r="T18" s="348">
        <v>0.05556</v>
      </c>
      <c r="U18" s="348">
        <v>3.5367</v>
      </c>
      <c r="V18" s="348">
        <v>0.08359</v>
      </c>
      <c r="W18" s="348">
        <v>655.8278</v>
      </c>
      <c r="X18" s="416">
        <v>15.50054</v>
      </c>
    </row>
    <row r="19" spans="1:24" s="335" customFormat="1" ht="28.5">
      <c r="A19" s="488" t="s">
        <v>550</v>
      </c>
      <c r="B19" s="489" t="s">
        <v>418</v>
      </c>
      <c r="C19" s="490" t="s">
        <v>1246</v>
      </c>
      <c r="D19" s="491" t="s">
        <v>2065</v>
      </c>
      <c r="E19" s="492">
        <v>1930</v>
      </c>
      <c r="F19" s="492">
        <v>1962</v>
      </c>
      <c r="G19" s="489"/>
      <c r="H19" s="493"/>
      <c r="I19" s="489"/>
      <c r="J19" s="494"/>
      <c r="K19" s="495"/>
      <c r="L19" s="495"/>
      <c r="M19" s="495"/>
      <c r="N19" s="489"/>
      <c r="O19" s="489"/>
      <c r="P19" s="495"/>
      <c r="Q19" s="495"/>
      <c r="R19" s="495"/>
      <c r="S19" s="611"/>
      <c r="T19" s="611"/>
      <c r="U19" s="611"/>
      <c r="V19" s="611"/>
      <c r="W19" s="611"/>
      <c r="X19" s="612"/>
    </row>
    <row r="20" spans="1:24" s="336" customFormat="1" ht="15">
      <c r="A20" s="351" t="s">
        <v>551</v>
      </c>
      <c r="B20" s="352" t="s">
        <v>418</v>
      </c>
      <c r="C20" s="353" t="s">
        <v>1247</v>
      </c>
      <c r="D20" s="354" t="s">
        <v>2066</v>
      </c>
      <c r="E20" s="355">
        <v>250</v>
      </c>
      <c r="F20" s="355">
        <v>254</v>
      </c>
      <c r="G20" s="352" t="s">
        <v>1768</v>
      </c>
      <c r="H20" s="357">
        <v>64.6249530307006</v>
      </c>
      <c r="I20" s="497">
        <v>67.3</v>
      </c>
      <c r="J20" s="496">
        <v>0.12</v>
      </c>
      <c r="K20" s="363" t="s">
        <v>2671</v>
      </c>
      <c r="L20" s="363" t="s">
        <v>2672</v>
      </c>
      <c r="M20" s="363"/>
      <c r="N20" s="352" t="s">
        <v>1757</v>
      </c>
      <c r="O20" s="352" t="s">
        <v>1723</v>
      </c>
      <c r="P20" s="363" t="s">
        <v>1760</v>
      </c>
      <c r="Q20" s="363" t="s">
        <v>2673</v>
      </c>
      <c r="R20" s="363">
        <f>1+0.038+0.011</f>
        <v>1.049</v>
      </c>
      <c r="S20" s="348">
        <v>3.0829</v>
      </c>
      <c r="T20" s="348">
        <v>0.04771</v>
      </c>
      <c r="U20" s="348">
        <v>2.9088</v>
      </c>
      <c r="V20" s="348">
        <v>0.04501</v>
      </c>
      <c r="W20" s="348">
        <v>264.2945</v>
      </c>
      <c r="X20" s="416">
        <v>4.08998</v>
      </c>
    </row>
    <row r="21" spans="1:24" s="303" customFormat="1" ht="15">
      <c r="A21" s="383" t="s">
        <v>552</v>
      </c>
      <c r="B21" s="384" t="s">
        <v>418</v>
      </c>
      <c r="C21" s="385" t="s">
        <v>1248</v>
      </c>
      <c r="D21" s="386"/>
      <c r="E21" s="387">
        <v>80</v>
      </c>
      <c r="F21" s="387">
        <v>81</v>
      </c>
      <c r="G21" s="384"/>
      <c r="H21" s="484"/>
      <c r="I21" s="384"/>
      <c r="J21" s="485"/>
      <c r="K21" s="394"/>
      <c r="L21" s="394"/>
      <c r="M21" s="394"/>
      <c r="N21" s="384"/>
      <c r="O21" s="384"/>
      <c r="P21" s="394"/>
      <c r="Q21" s="394"/>
      <c r="R21" s="394"/>
      <c r="S21" s="395"/>
      <c r="T21" s="395"/>
      <c r="U21" s="395"/>
      <c r="V21" s="395"/>
      <c r="W21" s="395"/>
      <c r="X21" s="425"/>
    </row>
    <row r="22" spans="1:24" s="303" customFormat="1" ht="15">
      <c r="A22" s="383" t="s">
        <v>553</v>
      </c>
      <c r="B22" s="384" t="s">
        <v>418</v>
      </c>
      <c r="C22" s="385" t="s">
        <v>1249</v>
      </c>
      <c r="D22" s="386"/>
      <c r="E22" s="387">
        <v>70</v>
      </c>
      <c r="F22" s="387">
        <v>71</v>
      </c>
      <c r="G22" s="384"/>
      <c r="H22" s="484"/>
      <c r="I22" s="384"/>
      <c r="J22" s="485"/>
      <c r="K22" s="394"/>
      <c r="L22" s="394"/>
      <c r="M22" s="394"/>
      <c r="N22" s="384"/>
      <c r="O22" s="384"/>
      <c r="P22" s="394"/>
      <c r="Q22" s="394"/>
      <c r="R22" s="394"/>
      <c r="S22" s="395"/>
      <c r="T22" s="395"/>
      <c r="U22" s="395"/>
      <c r="V22" s="395"/>
      <c r="W22" s="395"/>
      <c r="X22" s="425"/>
    </row>
    <row r="23" spans="1:24" s="336" customFormat="1" ht="28.5">
      <c r="A23" s="351" t="s">
        <v>554</v>
      </c>
      <c r="B23" s="352" t="s">
        <v>418</v>
      </c>
      <c r="C23" s="353" t="s">
        <v>1250</v>
      </c>
      <c r="D23" s="354" t="s">
        <v>2067</v>
      </c>
      <c r="E23" s="355">
        <v>290</v>
      </c>
      <c r="F23" s="355">
        <v>295</v>
      </c>
      <c r="G23" s="352" t="s">
        <v>1767</v>
      </c>
      <c r="H23" s="357">
        <v>72.97914458147467</v>
      </c>
      <c r="I23" s="352">
        <v>76</v>
      </c>
      <c r="J23" s="496">
        <v>0.12</v>
      </c>
      <c r="K23" s="363" t="s">
        <v>2091</v>
      </c>
      <c r="L23" s="363"/>
      <c r="M23" s="363" t="s">
        <v>2092</v>
      </c>
      <c r="N23" s="352" t="s">
        <v>1757</v>
      </c>
      <c r="O23" s="352" t="s">
        <v>1723</v>
      </c>
      <c r="P23" s="363" t="s">
        <v>1722</v>
      </c>
      <c r="Q23" s="363" t="s">
        <v>1782</v>
      </c>
      <c r="R23" s="363">
        <f>1+0.1+0.005</f>
        <v>1.105</v>
      </c>
      <c r="S23" s="348">
        <v>3.0163</v>
      </c>
      <c r="T23" s="348">
        <v>0.04133</v>
      </c>
      <c r="U23" s="348">
        <v>3.0504</v>
      </c>
      <c r="V23" s="348">
        <v>0.0418</v>
      </c>
      <c r="W23" s="348">
        <v>620.0539</v>
      </c>
      <c r="X23" s="416">
        <v>8.49622</v>
      </c>
    </row>
    <row r="24" spans="1:24" s="336" customFormat="1" ht="15">
      <c r="A24" s="351" t="s">
        <v>555</v>
      </c>
      <c r="B24" s="352" t="s">
        <v>418</v>
      </c>
      <c r="C24" s="353" t="s">
        <v>1251</v>
      </c>
      <c r="D24" s="354" t="s">
        <v>2674</v>
      </c>
      <c r="E24" s="355">
        <v>430</v>
      </c>
      <c r="F24" s="355">
        <v>437</v>
      </c>
      <c r="G24" s="352" t="s">
        <v>1737</v>
      </c>
      <c r="H24" s="357">
        <v>87.622986092889</v>
      </c>
      <c r="I24" s="352">
        <v>91.25</v>
      </c>
      <c r="J24" s="496">
        <v>0.12</v>
      </c>
      <c r="K24" s="363" t="s">
        <v>2100</v>
      </c>
      <c r="L24" s="363" t="s">
        <v>2101</v>
      </c>
      <c r="M24" s="363"/>
      <c r="N24" s="352" t="s">
        <v>1751</v>
      </c>
      <c r="O24" s="352" t="s">
        <v>1723</v>
      </c>
      <c r="P24" s="363" t="s">
        <v>1744</v>
      </c>
      <c r="Q24" s="363" t="s">
        <v>1770</v>
      </c>
      <c r="R24" s="363">
        <f>1+0.083+0.033</f>
        <v>1.1159999999999999</v>
      </c>
      <c r="S24" s="348">
        <v>3.9752</v>
      </c>
      <c r="T24" s="348">
        <v>0.04257</v>
      </c>
      <c r="U24" s="348">
        <v>3.5608</v>
      </c>
      <c r="V24" s="348">
        <v>0.04055</v>
      </c>
      <c r="W24" s="348">
        <v>566.3568</v>
      </c>
      <c r="X24" s="416">
        <v>6.44906</v>
      </c>
    </row>
    <row r="25" spans="1:24" s="303" customFormat="1" ht="15">
      <c r="A25" s="383" t="s">
        <v>556</v>
      </c>
      <c r="B25" s="384" t="s">
        <v>418</v>
      </c>
      <c r="C25" s="385" t="s">
        <v>1252</v>
      </c>
      <c r="D25" s="386"/>
      <c r="E25" s="387" t="s">
        <v>1689</v>
      </c>
      <c r="F25" s="387" t="s">
        <v>1689</v>
      </c>
      <c r="G25" s="384"/>
      <c r="H25" s="484"/>
      <c r="I25" s="384"/>
      <c r="J25" s="485"/>
      <c r="K25" s="394"/>
      <c r="L25" s="394"/>
      <c r="M25" s="394"/>
      <c r="N25" s="384"/>
      <c r="O25" s="384"/>
      <c r="P25" s="394"/>
      <c r="Q25" s="394"/>
      <c r="R25" s="394"/>
      <c r="S25" s="395"/>
      <c r="T25" s="395"/>
      <c r="U25" s="395"/>
      <c r="V25" s="395"/>
      <c r="W25" s="395"/>
      <c r="X25" s="425"/>
    </row>
    <row r="26" spans="1:24" s="303" customFormat="1" ht="15">
      <c r="A26" s="383" t="s">
        <v>557</v>
      </c>
      <c r="B26" s="384" t="s">
        <v>418</v>
      </c>
      <c r="C26" s="385" t="s">
        <v>1253</v>
      </c>
      <c r="D26" s="386"/>
      <c r="E26" s="387">
        <v>40</v>
      </c>
      <c r="F26" s="387">
        <v>41</v>
      </c>
      <c r="G26" s="384"/>
      <c r="H26" s="484"/>
      <c r="I26" s="384"/>
      <c r="J26" s="485"/>
      <c r="K26" s="394"/>
      <c r="L26" s="394"/>
      <c r="M26" s="394"/>
      <c r="N26" s="384"/>
      <c r="O26" s="384"/>
      <c r="P26" s="394"/>
      <c r="Q26" s="394"/>
      <c r="R26" s="394"/>
      <c r="S26" s="395"/>
      <c r="T26" s="395"/>
      <c r="U26" s="395"/>
      <c r="V26" s="395"/>
      <c r="W26" s="395"/>
      <c r="X26" s="425"/>
    </row>
    <row r="27" spans="1:24" s="336" customFormat="1" ht="71.25">
      <c r="A27" s="351" t="s">
        <v>558</v>
      </c>
      <c r="B27" s="352" t="s">
        <v>418</v>
      </c>
      <c r="C27" s="353" t="s">
        <v>1254</v>
      </c>
      <c r="D27" s="354" t="s">
        <v>1815</v>
      </c>
      <c r="E27" s="355">
        <v>520</v>
      </c>
      <c r="F27" s="355">
        <v>529</v>
      </c>
      <c r="G27" s="352" t="s">
        <v>2675</v>
      </c>
      <c r="H27" s="357">
        <v>73.9393964838625</v>
      </c>
      <c r="I27" s="497">
        <v>77</v>
      </c>
      <c r="J27" s="496">
        <v>0.12</v>
      </c>
      <c r="K27" s="363" t="s">
        <v>2676</v>
      </c>
      <c r="L27" s="363" t="s">
        <v>2677</v>
      </c>
      <c r="M27" s="363"/>
      <c r="N27" s="352" t="s">
        <v>2439</v>
      </c>
      <c r="O27" s="352" t="s">
        <v>1721</v>
      </c>
      <c r="P27" s="363" t="s">
        <v>1719</v>
      </c>
      <c r="Q27" s="363" t="s">
        <v>1772</v>
      </c>
      <c r="R27" s="363">
        <f>1+0.02</f>
        <v>1.02</v>
      </c>
      <c r="S27" s="348">
        <v>4.9319</v>
      </c>
      <c r="T27" s="348">
        <v>0.0667</v>
      </c>
      <c r="U27" s="348">
        <v>2.2399</v>
      </c>
      <c r="V27" s="348">
        <v>0.03029</v>
      </c>
      <c r="W27" s="348">
        <v>194.4194</v>
      </c>
      <c r="X27" s="416">
        <v>2.62942</v>
      </c>
    </row>
    <row r="28" spans="1:24" s="303" customFormat="1" ht="15">
      <c r="A28" s="383" t="s">
        <v>559</v>
      </c>
      <c r="B28" s="384" t="s">
        <v>418</v>
      </c>
      <c r="C28" s="385" t="s">
        <v>1255</v>
      </c>
      <c r="D28" s="386"/>
      <c r="E28" s="387">
        <v>240</v>
      </c>
      <c r="F28" s="387">
        <v>244</v>
      </c>
      <c r="G28" s="384"/>
      <c r="H28" s="484"/>
      <c r="I28" s="384"/>
      <c r="J28" s="485"/>
      <c r="K28" s="394"/>
      <c r="L28" s="394"/>
      <c r="M28" s="394"/>
      <c r="N28" s="384"/>
      <c r="O28" s="384"/>
      <c r="P28" s="394"/>
      <c r="Q28" s="394"/>
      <c r="R28" s="394"/>
      <c r="S28" s="395"/>
      <c r="T28" s="395"/>
      <c r="U28" s="395"/>
      <c r="V28" s="395"/>
      <c r="W28" s="395"/>
      <c r="X28" s="425"/>
    </row>
    <row r="29" spans="1:24" s="335" customFormat="1" ht="42.75">
      <c r="A29" s="488" t="s">
        <v>560</v>
      </c>
      <c r="B29" s="489" t="s">
        <v>418</v>
      </c>
      <c r="C29" s="490" t="s">
        <v>1256</v>
      </c>
      <c r="D29" s="491" t="s">
        <v>1786</v>
      </c>
      <c r="E29" s="492">
        <v>690</v>
      </c>
      <c r="F29" s="492">
        <v>701</v>
      </c>
      <c r="G29" s="489"/>
      <c r="H29" s="493"/>
      <c r="I29" s="489"/>
      <c r="J29" s="494"/>
      <c r="K29" s="495"/>
      <c r="L29" s="495"/>
      <c r="M29" s="495"/>
      <c r="N29" s="489"/>
      <c r="O29" s="489"/>
      <c r="P29" s="495"/>
      <c r="Q29" s="495"/>
      <c r="R29" s="495"/>
      <c r="S29" s="611"/>
      <c r="T29" s="611"/>
      <c r="U29" s="611"/>
      <c r="V29" s="611"/>
      <c r="W29" s="611"/>
      <c r="X29" s="612"/>
    </row>
    <row r="30" spans="1:24" s="336" customFormat="1" ht="28.5">
      <c r="A30" s="351" t="s">
        <v>561</v>
      </c>
      <c r="B30" s="352" t="s">
        <v>418</v>
      </c>
      <c r="C30" s="353" t="s">
        <v>1257</v>
      </c>
      <c r="D30" s="354" t="s">
        <v>1787</v>
      </c>
      <c r="E30" s="355">
        <v>190</v>
      </c>
      <c r="F30" s="355">
        <v>193</v>
      </c>
      <c r="G30" s="352" t="s">
        <v>1766</v>
      </c>
      <c r="H30" s="357">
        <v>8.291775177118865</v>
      </c>
      <c r="I30" s="352">
        <f>(8.52+8.75)/2</f>
        <v>8.635</v>
      </c>
      <c r="J30" s="496">
        <v>0.12</v>
      </c>
      <c r="K30" s="363" t="s">
        <v>1720</v>
      </c>
      <c r="L30" s="363" t="s">
        <v>2119</v>
      </c>
      <c r="M30" s="363"/>
      <c r="N30" s="352" t="s">
        <v>1751</v>
      </c>
      <c r="O30" s="352" t="s">
        <v>1721</v>
      </c>
      <c r="P30" s="363" t="s">
        <v>1724</v>
      </c>
      <c r="Q30" s="363" t="s">
        <v>1773</v>
      </c>
      <c r="R30" s="363">
        <f>1+0.007</f>
        <v>1.007</v>
      </c>
      <c r="S30" s="348">
        <v>0.708</v>
      </c>
      <c r="T30" s="348">
        <v>0.0854</v>
      </c>
      <c r="U30" s="348">
        <v>1.9101</v>
      </c>
      <c r="V30" s="348">
        <v>0.23041</v>
      </c>
      <c r="W30" s="348">
        <v>62.5006</v>
      </c>
      <c r="X30" s="416">
        <v>7.53927</v>
      </c>
    </row>
    <row r="31" spans="1:24" s="303" customFormat="1" ht="28.5">
      <c r="A31" s="383" t="s">
        <v>562</v>
      </c>
      <c r="B31" s="384" t="s">
        <v>418</v>
      </c>
      <c r="C31" s="385" t="s">
        <v>1258</v>
      </c>
      <c r="D31" s="386"/>
      <c r="E31" s="387">
        <v>100</v>
      </c>
      <c r="F31" s="387">
        <v>102</v>
      </c>
      <c r="G31" s="384"/>
      <c r="H31" s="484"/>
      <c r="I31" s="384"/>
      <c r="J31" s="485"/>
      <c r="K31" s="394"/>
      <c r="L31" s="394"/>
      <c r="M31" s="394"/>
      <c r="N31" s="384"/>
      <c r="O31" s="384"/>
      <c r="P31" s="394"/>
      <c r="Q31" s="394"/>
      <c r="R31" s="394"/>
      <c r="S31" s="395"/>
      <c r="T31" s="395"/>
      <c r="U31" s="395"/>
      <c r="V31" s="395"/>
      <c r="W31" s="395"/>
      <c r="X31" s="425"/>
    </row>
    <row r="32" spans="1:24" s="336" customFormat="1" ht="28.5">
      <c r="A32" s="351" t="s">
        <v>563</v>
      </c>
      <c r="B32" s="352" t="s">
        <v>418</v>
      </c>
      <c r="C32" s="353" t="s">
        <v>1259</v>
      </c>
      <c r="D32" s="354" t="s">
        <v>1789</v>
      </c>
      <c r="E32" s="355">
        <v>310</v>
      </c>
      <c r="F32" s="355">
        <v>315</v>
      </c>
      <c r="G32" s="352" t="s">
        <v>1769</v>
      </c>
      <c r="H32" s="357">
        <v>72.7870942009971</v>
      </c>
      <c r="I32" s="352">
        <v>75.8</v>
      </c>
      <c r="J32" s="496">
        <v>0.12</v>
      </c>
      <c r="K32" s="363" t="s">
        <v>2122</v>
      </c>
      <c r="L32" s="363" t="s">
        <v>2678</v>
      </c>
      <c r="M32" s="363"/>
      <c r="N32" s="352" t="s">
        <v>2099</v>
      </c>
      <c r="O32" s="352" t="s">
        <v>1732</v>
      </c>
      <c r="P32" s="363" t="s">
        <v>2679</v>
      </c>
      <c r="Q32" s="363" t="s">
        <v>2680</v>
      </c>
      <c r="R32" s="363">
        <f>1+0.22+0.029</f>
        <v>1.2489999999999999</v>
      </c>
      <c r="S32" s="348">
        <v>3.401</v>
      </c>
      <c r="T32" s="348">
        <v>0.04672</v>
      </c>
      <c r="U32" s="348">
        <v>5.765</v>
      </c>
      <c r="V32" s="348">
        <v>0.0792</v>
      </c>
      <c r="W32" s="348" t="s">
        <v>2681</v>
      </c>
      <c r="X32" s="416">
        <v>18.71238</v>
      </c>
    </row>
    <row r="33" spans="1:24" s="303" customFormat="1" ht="15">
      <c r="A33" s="383" t="s">
        <v>564</v>
      </c>
      <c r="B33" s="384" t="s">
        <v>418</v>
      </c>
      <c r="C33" s="385" t="s">
        <v>1260</v>
      </c>
      <c r="D33" s="386"/>
      <c r="E33" s="387">
        <v>20</v>
      </c>
      <c r="F33" s="387">
        <v>20</v>
      </c>
      <c r="G33" s="384"/>
      <c r="H33" s="484"/>
      <c r="I33" s="384"/>
      <c r="J33" s="485"/>
      <c r="K33" s="394"/>
      <c r="L33" s="394"/>
      <c r="M33" s="394"/>
      <c r="N33" s="384"/>
      <c r="O33" s="384"/>
      <c r="P33" s="394"/>
      <c r="Q33" s="394"/>
      <c r="R33" s="394"/>
      <c r="S33" s="395"/>
      <c r="T33" s="395"/>
      <c r="U33" s="395"/>
      <c r="V33" s="395"/>
      <c r="W33" s="395"/>
      <c r="X33" s="425"/>
    </row>
    <row r="34" spans="1:24" s="303" customFormat="1" ht="15">
      <c r="A34" s="383" t="s">
        <v>565</v>
      </c>
      <c r="B34" s="384" t="s">
        <v>418</v>
      </c>
      <c r="C34" s="385" t="s">
        <v>1261</v>
      </c>
      <c r="D34" s="386"/>
      <c r="E34" s="387" t="s">
        <v>1689</v>
      </c>
      <c r="F34" s="387" t="s">
        <v>1689</v>
      </c>
      <c r="G34" s="384"/>
      <c r="H34" s="484"/>
      <c r="I34" s="384"/>
      <c r="J34" s="485"/>
      <c r="K34" s="394"/>
      <c r="L34" s="394"/>
      <c r="M34" s="394"/>
      <c r="N34" s="384"/>
      <c r="O34" s="384"/>
      <c r="P34" s="394"/>
      <c r="Q34" s="394"/>
      <c r="R34" s="394"/>
      <c r="S34" s="395"/>
      <c r="T34" s="395"/>
      <c r="U34" s="395"/>
      <c r="V34" s="395"/>
      <c r="W34" s="395"/>
      <c r="X34" s="425"/>
    </row>
    <row r="35" spans="1:24" s="334" customFormat="1" ht="15.75">
      <c r="A35" s="398" t="s">
        <v>566</v>
      </c>
      <c r="B35" s="399" t="s">
        <v>418</v>
      </c>
      <c r="C35" s="400" t="s">
        <v>1262</v>
      </c>
      <c r="D35" s="401" t="s">
        <v>1790</v>
      </c>
      <c r="E35" s="402">
        <v>6200</v>
      </c>
      <c r="F35" s="402">
        <v>6547</v>
      </c>
      <c r="G35" s="399"/>
      <c r="H35" s="486"/>
      <c r="I35" s="399"/>
      <c r="J35" s="487"/>
      <c r="K35" s="409"/>
      <c r="L35" s="409"/>
      <c r="M35" s="409"/>
      <c r="N35" s="399"/>
      <c r="O35" s="399"/>
      <c r="P35" s="409"/>
      <c r="Q35" s="409"/>
      <c r="R35" s="409"/>
      <c r="S35" s="410"/>
      <c r="T35" s="410"/>
      <c r="U35" s="410"/>
      <c r="V35" s="410"/>
      <c r="W35" s="410"/>
      <c r="X35" s="433"/>
    </row>
    <row r="36" spans="1:24" s="336" customFormat="1" ht="28.5">
      <c r="A36" s="351" t="s">
        <v>567</v>
      </c>
      <c r="B36" s="352" t="s">
        <v>418</v>
      </c>
      <c r="C36" s="353" t="s">
        <v>1263</v>
      </c>
      <c r="D36" s="354" t="s">
        <v>1791</v>
      </c>
      <c r="E36" s="355">
        <v>1010</v>
      </c>
      <c r="F36" s="355">
        <v>1067</v>
      </c>
      <c r="G36" s="352"/>
      <c r="H36" s="357"/>
      <c r="I36" s="352"/>
      <c r="J36" s="352"/>
      <c r="K36" s="363"/>
      <c r="L36" s="363"/>
      <c r="M36" s="363"/>
      <c r="N36" s="352"/>
      <c r="O36" s="352" t="s">
        <v>1715</v>
      </c>
      <c r="P36" s="363" t="s">
        <v>1752</v>
      </c>
      <c r="Q36" s="363" t="s">
        <v>2140</v>
      </c>
      <c r="R36" s="363"/>
      <c r="S36" s="348">
        <f aca="true" t="shared" si="0" ref="S36:X36">AVERAGE(S37:S40)</f>
        <v>41.523855</v>
      </c>
      <c r="T36" s="348">
        <f t="shared" si="0"/>
        <v>0.14076</v>
      </c>
      <c r="U36" s="348">
        <f t="shared" si="0"/>
        <v>34.8623</v>
      </c>
      <c r="V36" s="348">
        <f t="shared" si="0"/>
        <v>0.11595000000000001</v>
      </c>
      <c r="W36" s="348">
        <f t="shared" si="0"/>
        <v>382.277225</v>
      </c>
      <c r="X36" s="348">
        <f t="shared" si="0"/>
        <v>1.621535</v>
      </c>
    </row>
    <row r="37" spans="1:24" s="336" customFormat="1" ht="15">
      <c r="A37" s="351" t="s">
        <v>2682</v>
      </c>
      <c r="B37" s="352"/>
      <c r="C37" s="353"/>
      <c r="D37" s="352"/>
      <c r="E37" s="355"/>
      <c r="F37" s="355"/>
      <c r="G37" s="354" t="s">
        <v>2683</v>
      </c>
      <c r="H37" s="357">
        <v>462.303516263856</v>
      </c>
      <c r="I37" s="352">
        <v>482</v>
      </c>
      <c r="J37" s="496">
        <v>0.12</v>
      </c>
      <c r="K37" s="363" t="s">
        <v>2684</v>
      </c>
      <c r="L37" s="363"/>
      <c r="M37" s="363"/>
      <c r="N37" s="352" t="s">
        <v>1751</v>
      </c>
      <c r="O37" s="352"/>
      <c r="P37" s="363"/>
      <c r="Q37" s="363" t="str">
        <f>Q36</f>
        <v>0,011 kg per kg product</v>
      </c>
      <c r="R37" s="363">
        <f>1+0.011</f>
        <v>1.011</v>
      </c>
      <c r="S37" s="348">
        <v>52.3656</v>
      </c>
      <c r="T37" s="348">
        <v>0.11327</v>
      </c>
      <c r="U37" s="348">
        <v>60.0228</v>
      </c>
      <c r="V37" s="348">
        <v>0.12984</v>
      </c>
      <c r="W37" s="348">
        <v>448.1644</v>
      </c>
      <c r="X37" s="416">
        <v>0.96942</v>
      </c>
    </row>
    <row r="38" spans="1:24" s="336" customFormat="1" ht="15">
      <c r="A38" s="351" t="s">
        <v>2685</v>
      </c>
      <c r="B38" s="352"/>
      <c r="C38" s="353"/>
      <c r="D38" s="352"/>
      <c r="E38" s="355"/>
      <c r="F38" s="355"/>
      <c r="G38" s="354" t="s">
        <v>2686</v>
      </c>
      <c r="H38" s="357">
        <v>106.4640877703071</v>
      </c>
      <c r="I38" s="352">
        <v>111</v>
      </c>
      <c r="J38" s="496">
        <v>0.12</v>
      </c>
      <c r="K38" s="363" t="s">
        <v>2687</v>
      </c>
      <c r="L38" s="363"/>
      <c r="M38" s="363"/>
      <c r="N38" s="352" t="s">
        <v>1751</v>
      </c>
      <c r="O38" s="352" t="s">
        <v>2688</v>
      </c>
      <c r="P38" s="363" t="s">
        <v>1754</v>
      </c>
      <c r="Q38" s="363" t="s">
        <v>2143</v>
      </c>
      <c r="R38" s="363">
        <f>1+0.014</f>
        <v>1.014</v>
      </c>
      <c r="S38" s="348">
        <v>4.9047</v>
      </c>
      <c r="T38" s="348">
        <v>0.04607</v>
      </c>
      <c r="U38" s="348">
        <v>6.0858</v>
      </c>
      <c r="V38" s="348">
        <v>0.05717</v>
      </c>
      <c r="W38" s="348">
        <v>263.4084</v>
      </c>
      <c r="X38" s="416">
        <v>2.47425</v>
      </c>
    </row>
    <row r="39" spans="1:24" s="336" customFormat="1" ht="15">
      <c r="A39" s="351" t="s">
        <v>2689</v>
      </c>
      <c r="B39" s="352"/>
      <c r="C39" s="353"/>
      <c r="D39" s="352"/>
      <c r="E39" s="355"/>
      <c r="F39" s="355"/>
      <c r="G39" s="354" t="s">
        <v>2690</v>
      </c>
      <c r="H39" s="357">
        <v>261.8441077594039</v>
      </c>
      <c r="I39" s="352">
        <v>273</v>
      </c>
      <c r="J39" s="496">
        <v>0.12</v>
      </c>
      <c r="K39" s="363" t="s">
        <v>2691</v>
      </c>
      <c r="L39" s="363"/>
      <c r="M39" s="363"/>
      <c r="N39" s="352" t="s">
        <v>1751</v>
      </c>
      <c r="O39" s="352"/>
      <c r="P39" s="363"/>
      <c r="Q39" s="363" t="str">
        <f>Q37</f>
        <v>0,011 kg per kg product</v>
      </c>
      <c r="R39" s="363">
        <f>R37</f>
        <v>1.011</v>
      </c>
      <c r="S39" s="348">
        <v>48.9296</v>
      </c>
      <c r="T39" s="348">
        <v>0.18687</v>
      </c>
      <c r="U39" s="348">
        <v>56.7133</v>
      </c>
      <c r="V39" s="348">
        <v>0.2166</v>
      </c>
      <c r="W39" s="348">
        <v>416.3742</v>
      </c>
      <c r="X39" s="416">
        <v>1.59019</v>
      </c>
    </row>
    <row r="40" spans="1:24" s="336" customFormat="1" ht="15">
      <c r="A40" s="351" t="s">
        <v>2692</v>
      </c>
      <c r="B40" s="352"/>
      <c r="C40" s="353"/>
      <c r="D40" s="352"/>
      <c r="E40" s="355"/>
      <c r="F40" s="355"/>
      <c r="G40" s="354" t="s">
        <v>2693</v>
      </c>
      <c r="H40" s="357">
        <v>276.23114664728325</v>
      </c>
      <c r="I40" s="352">
        <v>288</v>
      </c>
      <c r="J40" s="496">
        <v>0.12</v>
      </c>
      <c r="K40" s="363" t="s">
        <v>2694</v>
      </c>
      <c r="L40" s="363"/>
      <c r="M40" s="363"/>
      <c r="N40" s="352" t="s">
        <v>1751</v>
      </c>
      <c r="O40" s="352">
        <f>0.011/1</f>
        <v>0.011</v>
      </c>
      <c r="P40" s="363"/>
      <c r="Q40" s="363" t="str">
        <f>Q39</f>
        <v>0,011 kg per kg product</v>
      </c>
      <c r="R40" s="363">
        <f>R39</f>
        <v>1.011</v>
      </c>
      <c r="S40" s="348">
        <v>59.89552</v>
      </c>
      <c r="T40" s="348">
        <v>0.21683</v>
      </c>
      <c r="U40" s="348">
        <v>16.6273</v>
      </c>
      <c r="V40" s="348">
        <v>0.06019</v>
      </c>
      <c r="W40" s="348">
        <v>401.1619</v>
      </c>
      <c r="X40" s="416">
        <v>1.45228</v>
      </c>
    </row>
    <row r="41" spans="1:24" s="336" customFormat="1" ht="28.5">
      <c r="A41" s="351" t="s">
        <v>568</v>
      </c>
      <c r="B41" s="352" t="s">
        <v>418</v>
      </c>
      <c r="C41" s="353" t="s">
        <v>1264</v>
      </c>
      <c r="D41" s="354" t="s">
        <v>1792</v>
      </c>
      <c r="E41" s="355">
        <v>1060</v>
      </c>
      <c r="F41" s="355">
        <v>1119</v>
      </c>
      <c r="G41" s="352"/>
      <c r="H41" s="357"/>
      <c r="I41" s="352"/>
      <c r="J41" s="352"/>
      <c r="K41" s="363"/>
      <c r="L41" s="363"/>
      <c r="M41" s="363"/>
      <c r="N41" s="352"/>
      <c r="O41" s="352" t="s">
        <v>1715</v>
      </c>
      <c r="P41" s="363" t="s">
        <v>1752</v>
      </c>
      <c r="Q41" s="363"/>
      <c r="R41" s="363"/>
      <c r="S41" s="348">
        <f aca="true" t="shared" si="1" ref="S41:X41">AVERAGE(S42:S44)</f>
        <v>5.903099999999999</v>
      </c>
      <c r="T41" s="348">
        <f t="shared" si="1"/>
        <v>0.06704</v>
      </c>
      <c r="U41" s="348">
        <f t="shared" si="1"/>
        <v>5.7529</v>
      </c>
      <c r="V41" s="348">
        <f t="shared" si="1"/>
        <v>0.06648666666666667</v>
      </c>
      <c r="W41" s="348">
        <f t="shared" si="1"/>
        <v>174.99743333333333</v>
      </c>
      <c r="X41" s="348">
        <f t="shared" si="1"/>
        <v>2.0944</v>
      </c>
    </row>
    <row r="42" spans="1:24" s="336" customFormat="1" ht="15">
      <c r="A42" s="351" t="s">
        <v>2695</v>
      </c>
      <c r="B42" s="352"/>
      <c r="C42" s="353"/>
      <c r="D42" s="354"/>
      <c r="E42" s="355"/>
      <c r="F42" s="355"/>
      <c r="G42" s="352" t="s">
        <v>2696</v>
      </c>
      <c r="H42" s="357">
        <v>122.76939850990368</v>
      </c>
      <c r="I42" s="352">
        <v>128</v>
      </c>
      <c r="J42" s="496">
        <v>0.12</v>
      </c>
      <c r="K42" s="363" t="s">
        <v>2697</v>
      </c>
      <c r="L42" s="363"/>
      <c r="M42" s="363"/>
      <c r="N42" s="352" t="s">
        <v>1751</v>
      </c>
      <c r="O42" s="352"/>
      <c r="P42" s="363"/>
      <c r="Q42" s="363" t="str">
        <f>Q40</f>
        <v>0,011 kg per kg product</v>
      </c>
      <c r="R42" s="363">
        <f>R40</f>
        <v>1.011</v>
      </c>
      <c r="S42" s="348">
        <v>3.8515</v>
      </c>
      <c r="T42" s="348">
        <v>0.03137</v>
      </c>
      <c r="U42" s="348">
        <v>4.7754</v>
      </c>
      <c r="V42" s="348">
        <v>0.0389</v>
      </c>
      <c r="W42" s="348">
        <v>237.085</v>
      </c>
      <c r="X42" s="416">
        <v>1.93133</v>
      </c>
    </row>
    <row r="43" spans="1:24" s="336" customFormat="1" ht="15">
      <c r="A43" s="351" t="s">
        <v>2698</v>
      </c>
      <c r="B43" s="352"/>
      <c r="C43" s="353"/>
      <c r="D43" s="354"/>
      <c r="E43" s="355"/>
      <c r="F43" s="355"/>
      <c r="G43" s="352" t="s">
        <v>2686</v>
      </c>
      <c r="H43" s="357">
        <v>62.343835180810466</v>
      </c>
      <c r="I43" s="352">
        <v>65</v>
      </c>
      <c r="J43" s="496">
        <v>0.12</v>
      </c>
      <c r="K43" s="363" t="s">
        <v>2687</v>
      </c>
      <c r="L43" s="363"/>
      <c r="M43" s="363"/>
      <c r="N43" s="352" t="s">
        <v>1751</v>
      </c>
      <c r="O43" s="352" t="str">
        <f>O38</f>
        <v>Plastic for a 500 gram package</v>
      </c>
      <c r="P43" s="363" t="str">
        <f>P38</f>
        <v>7g</v>
      </c>
      <c r="Q43" s="363" t="str">
        <f>Q38</f>
        <v>0,014 kg per kg product</v>
      </c>
      <c r="R43" s="363">
        <f>R38</f>
        <v>1.014</v>
      </c>
      <c r="S43" s="348">
        <v>3.7147</v>
      </c>
      <c r="T43" s="348">
        <v>0.05959</v>
      </c>
      <c r="U43" s="348">
        <v>4.8237</v>
      </c>
      <c r="V43" s="348">
        <v>0.07738</v>
      </c>
      <c r="W43" s="348">
        <v>236.4742</v>
      </c>
      <c r="X43" s="416">
        <v>3.7933</v>
      </c>
    </row>
    <row r="44" spans="1:24" s="336" customFormat="1" ht="15">
      <c r="A44" s="351" t="s">
        <v>2699</v>
      </c>
      <c r="B44" s="352"/>
      <c r="C44" s="353"/>
      <c r="D44" s="354"/>
      <c r="E44" s="355"/>
      <c r="F44" s="355"/>
      <c r="G44" s="352" t="s">
        <v>2700</v>
      </c>
      <c r="H44" s="357">
        <v>92.07704888242775</v>
      </c>
      <c r="I44" s="352">
        <v>96</v>
      </c>
      <c r="J44" s="496">
        <v>0.12</v>
      </c>
      <c r="K44" s="363" t="s">
        <v>2701</v>
      </c>
      <c r="L44" s="363"/>
      <c r="M44" s="363"/>
      <c r="N44" s="352" t="s">
        <v>1751</v>
      </c>
      <c r="O44" s="352"/>
      <c r="P44" s="363"/>
      <c r="Q44" s="363" t="str">
        <f>Q42</f>
        <v>0,011 kg per kg product</v>
      </c>
      <c r="R44" s="363">
        <f>R42</f>
        <v>1.011</v>
      </c>
      <c r="S44" s="348">
        <v>10.1431</v>
      </c>
      <c r="T44" s="348">
        <v>0.11016</v>
      </c>
      <c r="U44" s="348">
        <v>7.6596</v>
      </c>
      <c r="V44" s="348">
        <v>0.08318</v>
      </c>
      <c r="W44" s="348">
        <v>51.4331</v>
      </c>
      <c r="X44" s="416">
        <v>0.55857</v>
      </c>
    </row>
    <row r="45" spans="1:24" s="336" customFormat="1" ht="28.5">
      <c r="A45" s="351" t="s">
        <v>569</v>
      </c>
      <c r="B45" s="352" t="s">
        <v>418</v>
      </c>
      <c r="C45" s="353" t="s">
        <v>1265</v>
      </c>
      <c r="D45" s="354" t="s">
        <v>1793</v>
      </c>
      <c r="E45" s="355">
        <v>160</v>
      </c>
      <c r="F45" s="355">
        <v>169</v>
      </c>
      <c r="G45" s="352" t="s">
        <v>1745</v>
      </c>
      <c r="H45" s="357">
        <v>172.64446665455205</v>
      </c>
      <c r="I45" s="352">
        <v>180</v>
      </c>
      <c r="J45" s="496">
        <v>0.12</v>
      </c>
      <c r="K45" s="363" t="s">
        <v>2702</v>
      </c>
      <c r="L45" s="363"/>
      <c r="M45" s="363"/>
      <c r="N45" s="352" t="s">
        <v>2703</v>
      </c>
      <c r="O45" s="352" t="s">
        <v>1715</v>
      </c>
      <c r="P45" s="363" t="s">
        <v>1752</v>
      </c>
      <c r="Q45" s="363" t="str">
        <f>Q44</f>
        <v>0,011 kg per kg product</v>
      </c>
      <c r="R45" s="363">
        <f>R44</f>
        <v>1.011</v>
      </c>
      <c r="S45" s="348">
        <v>64.9678</v>
      </c>
      <c r="T45" s="348">
        <v>0.37632</v>
      </c>
      <c r="U45" s="348">
        <v>104.5828</v>
      </c>
      <c r="V45" s="348">
        <v>0.60579</v>
      </c>
      <c r="W45" s="348">
        <v>165.5323</v>
      </c>
      <c r="X45" s="416">
        <v>0.95883</v>
      </c>
    </row>
    <row r="46" spans="1:24" s="336" customFormat="1" ht="28.5">
      <c r="A46" s="351" t="s">
        <v>570</v>
      </c>
      <c r="B46" s="352" t="s">
        <v>418</v>
      </c>
      <c r="C46" s="353" t="s">
        <v>1266</v>
      </c>
      <c r="D46" s="354" t="s">
        <v>1794</v>
      </c>
      <c r="E46" s="355">
        <v>710</v>
      </c>
      <c r="F46" s="355">
        <v>750</v>
      </c>
      <c r="G46" s="352" t="s">
        <v>1746</v>
      </c>
      <c r="H46" s="357">
        <v>36.44716518262766</v>
      </c>
      <c r="I46" s="352">
        <v>38</v>
      </c>
      <c r="J46" s="496">
        <v>0.12</v>
      </c>
      <c r="K46" s="363" t="s">
        <v>2704</v>
      </c>
      <c r="L46" s="363"/>
      <c r="M46" s="363"/>
      <c r="N46" s="352" t="s">
        <v>1751</v>
      </c>
      <c r="O46" s="352" t="s">
        <v>1715</v>
      </c>
      <c r="P46" s="363" t="s">
        <v>1753</v>
      </c>
      <c r="Q46" s="363" t="s">
        <v>1774</v>
      </c>
      <c r="R46" s="363">
        <f>1+0.032</f>
        <v>1.032</v>
      </c>
      <c r="S46" s="348">
        <v>3.1117</v>
      </c>
      <c r="T46" s="348">
        <v>0.08537</v>
      </c>
      <c r="U46" s="348">
        <v>4.1985</v>
      </c>
      <c r="V46" s="348">
        <v>0.158</v>
      </c>
      <c r="W46" s="348">
        <v>121.6329</v>
      </c>
      <c r="X46" s="416">
        <v>3.33698</v>
      </c>
    </row>
    <row r="47" spans="1:24" s="335" customFormat="1" ht="42.75">
      <c r="A47" s="488" t="s">
        <v>571</v>
      </c>
      <c r="B47" s="489" t="s">
        <v>418</v>
      </c>
      <c r="C47" s="490" t="s">
        <v>1267</v>
      </c>
      <c r="D47" s="491" t="s">
        <v>1795</v>
      </c>
      <c r="E47" s="492">
        <v>2710</v>
      </c>
      <c r="F47" s="492">
        <v>2862</v>
      </c>
      <c r="G47" s="489"/>
      <c r="H47" s="493"/>
      <c r="I47" s="489"/>
      <c r="J47" s="494"/>
      <c r="K47" s="495"/>
      <c r="L47" s="495"/>
      <c r="M47" s="495"/>
      <c r="N47" s="489"/>
      <c r="O47" s="489"/>
      <c r="P47" s="495"/>
      <c r="Q47" s="495"/>
      <c r="R47" s="495"/>
      <c r="S47" s="611"/>
      <c r="T47" s="611"/>
      <c r="U47" s="611"/>
      <c r="V47" s="611"/>
      <c r="W47" s="611"/>
      <c r="X47" s="612"/>
    </row>
    <row r="48" spans="1:24" s="303" customFormat="1" ht="28.5">
      <c r="A48" s="383" t="s">
        <v>572</v>
      </c>
      <c r="B48" s="384" t="s">
        <v>418</v>
      </c>
      <c r="C48" s="385" t="s">
        <v>1268</v>
      </c>
      <c r="D48" s="386"/>
      <c r="E48" s="387" t="s">
        <v>1689</v>
      </c>
      <c r="F48" s="387" t="s">
        <v>1689</v>
      </c>
      <c r="G48" s="384"/>
      <c r="H48" s="484"/>
      <c r="I48" s="384"/>
      <c r="J48" s="485"/>
      <c r="K48" s="394"/>
      <c r="L48" s="394"/>
      <c r="M48" s="394"/>
      <c r="N48" s="384"/>
      <c r="O48" s="384"/>
      <c r="P48" s="394"/>
      <c r="Q48" s="394"/>
      <c r="R48" s="394"/>
      <c r="S48" s="395"/>
      <c r="T48" s="395"/>
      <c r="U48" s="395"/>
      <c r="V48" s="395"/>
      <c r="W48" s="395"/>
      <c r="X48" s="425"/>
    </row>
    <row r="49" spans="1:24" s="336" customFormat="1" ht="71.25">
      <c r="A49" s="351" t="s">
        <v>573</v>
      </c>
      <c r="B49" s="352" t="s">
        <v>418</v>
      </c>
      <c r="C49" s="353" t="s">
        <v>1269</v>
      </c>
      <c r="D49" s="354" t="s">
        <v>1807</v>
      </c>
      <c r="E49" s="355">
        <v>1290</v>
      </c>
      <c r="F49" s="355">
        <v>1362</v>
      </c>
      <c r="G49" s="352" t="s">
        <v>1747</v>
      </c>
      <c r="H49" s="357">
        <v>92.07704888242775</v>
      </c>
      <c r="I49" s="352">
        <v>96</v>
      </c>
      <c r="J49" s="496">
        <v>0.12</v>
      </c>
      <c r="K49" s="363" t="s">
        <v>2705</v>
      </c>
      <c r="L49" s="363"/>
      <c r="M49" s="363"/>
      <c r="N49" s="352" t="s">
        <v>1751</v>
      </c>
      <c r="O49" s="352" t="s">
        <v>1715</v>
      </c>
      <c r="P49" s="363" t="s">
        <v>1754</v>
      </c>
      <c r="Q49" s="363" t="s">
        <v>1755</v>
      </c>
      <c r="R49" s="363">
        <f>1+0.056</f>
        <v>1.056</v>
      </c>
      <c r="S49" s="348">
        <v>3.924</v>
      </c>
      <c r="T49" s="348">
        <v>0.04262</v>
      </c>
      <c r="U49" s="348">
        <v>4.8245</v>
      </c>
      <c r="V49" s="348">
        <v>0.05239</v>
      </c>
      <c r="W49" s="348">
        <v>241.0843</v>
      </c>
      <c r="X49" s="416">
        <v>2.6182</v>
      </c>
    </row>
    <row r="50" spans="1:24" s="303" customFormat="1" ht="28.5">
      <c r="A50" s="383" t="s">
        <v>574</v>
      </c>
      <c r="B50" s="384" t="s">
        <v>418</v>
      </c>
      <c r="C50" s="385" t="s">
        <v>1270</v>
      </c>
      <c r="D50" s="386"/>
      <c r="E50" s="387">
        <v>220</v>
      </c>
      <c r="F50" s="387">
        <v>232</v>
      </c>
      <c r="G50" s="384"/>
      <c r="H50" s="484"/>
      <c r="I50" s="384"/>
      <c r="J50" s="485"/>
      <c r="K50" s="394"/>
      <c r="L50" s="394"/>
      <c r="M50" s="394"/>
      <c r="N50" s="384"/>
      <c r="O50" s="384"/>
      <c r="P50" s="394"/>
      <c r="Q50" s="394"/>
      <c r="R50" s="394"/>
      <c r="S50" s="395"/>
      <c r="T50" s="395"/>
      <c r="U50" s="395"/>
      <c r="V50" s="395"/>
      <c r="W50" s="395"/>
      <c r="X50" s="425"/>
    </row>
    <row r="51" spans="1:24" s="303" customFormat="1" ht="28.5">
      <c r="A51" s="383" t="s">
        <v>575</v>
      </c>
      <c r="B51" s="384" t="s">
        <v>418</v>
      </c>
      <c r="C51" s="385" t="s">
        <v>1271</v>
      </c>
      <c r="D51" s="386"/>
      <c r="E51" s="387">
        <v>0</v>
      </c>
      <c r="F51" s="387">
        <v>0</v>
      </c>
      <c r="G51" s="384"/>
      <c r="H51" s="484"/>
      <c r="I51" s="384"/>
      <c r="J51" s="485"/>
      <c r="K51" s="394"/>
      <c r="L51" s="394"/>
      <c r="M51" s="394"/>
      <c r="N51" s="384"/>
      <c r="O51" s="384"/>
      <c r="P51" s="394"/>
      <c r="Q51" s="394"/>
      <c r="R51" s="394"/>
      <c r="S51" s="395"/>
      <c r="T51" s="395"/>
      <c r="U51" s="395"/>
      <c r="V51" s="395"/>
      <c r="W51" s="395"/>
      <c r="X51" s="425"/>
    </row>
    <row r="52" spans="1:24" s="303" customFormat="1" ht="15">
      <c r="A52" s="383" t="s">
        <v>576</v>
      </c>
      <c r="B52" s="384" t="s">
        <v>418</v>
      </c>
      <c r="C52" s="385" t="s">
        <v>1272</v>
      </c>
      <c r="D52" s="386"/>
      <c r="E52" s="387" t="s">
        <v>1689</v>
      </c>
      <c r="F52" s="387" t="s">
        <v>1689</v>
      </c>
      <c r="G52" s="384"/>
      <c r="H52" s="484"/>
      <c r="I52" s="384"/>
      <c r="J52" s="485"/>
      <c r="K52" s="394"/>
      <c r="L52" s="394"/>
      <c r="M52" s="394"/>
      <c r="N52" s="384"/>
      <c r="O52" s="384"/>
      <c r="P52" s="394"/>
      <c r="Q52" s="394"/>
      <c r="R52" s="394"/>
      <c r="S52" s="395"/>
      <c r="T52" s="395"/>
      <c r="U52" s="395"/>
      <c r="V52" s="395"/>
      <c r="W52" s="395"/>
      <c r="X52" s="425"/>
    </row>
    <row r="53" spans="1:24" s="336" customFormat="1" ht="85.5">
      <c r="A53" s="351" t="s">
        <v>577</v>
      </c>
      <c r="B53" s="352" t="s">
        <v>418</v>
      </c>
      <c r="C53" s="353" t="s">
        <v>1273</v>
      </c>
      <c r="D53" s="354" t="s">
        <v>1806</v>
      </c>
      <c r="E53" s="355">
        <v>920</v>
      </c>
      <c r="F53" s="355">
        <v>972</v>
      </c>
      <c r="G53" s="352" t="s">
        <v>1748</v>
      </c>
      <c r="H53" s="357">
        <v>79.60828184626567</v>
      </c>
      <c r="I53" s="352">
        <v>83</v>
      </c>
      <c r="J53" s="496">
        <v>0.12</v>
      </c>
      <c r="K53" s="363" t="s">
        <v>2706</v>
      </c>
      <c r="L53" s="363" t="s">
        <v>2707</v>
      </c>
      <c r="M53" s="363"/>
      <c r="N53" s="352"/>
      <c r="O53" s="352" t="s">
        <v>2708</v>
      </c>
      <c r="P53" s="363"/>
      <c r="Q53" s="363" t="s">
        <v>2709</v>
      </c>
      <c r="R53" s="363">
        <f>1+0.027</f>
        <v>1.027</v>
      </c>
      <c r="S53" s="348">
        <v>9.565</v>
      </c>
      <c r="T53" s="348">
        <v>0.12015</v>
      </c>
      <c r="U53" s="348">
        <v>5.6023</v>
      </c>
      <c r="V53" s="348">
        <v>0.07037</v>
      </c>
      <c r="W53" s="348" t="s">
        <v>2710</v>
      </c>
      <c r="X53" s="416">
        <v>0.73569</v>
      </c>
    </row>
    <row r="54" spans="1:24" s="303" customFormat="1" ht="15">
      <c r="A54" s="383" t="s">
        <v>578</v>
      </c>
      <c r="B54" s="384" t="s">
        <v>418</v>
      </c>
      <c r="C54" s="385" t="s">
        <v>1274</v>
      </c>
      <c r="D54" s="386"/>
      <c r="E54" s="387">
        <v>120</v>
      </c>
      <c r="F54" s="387">
        <v>127</v>
      </c>
      <c r="G54" s="384"/>
      <c r="H54" s="484"/>
      <c r="I54" s="384"/>
      <c r="J54" s="485"/>
      <c r="K54" s="394"/>
      <c r="L54" s="394"/>
      <c r="M54" s="394"/>
      <c r="N54" s="384"/>
      <c r="O54" s="384"/>
      <c r="P54" s="394"/>
      <c r="Q54" s="394"/>
      <c r="R54" s="394"/>
      <c r="S54" s="395"/>
      <c r="T54" s="395"/>
      <c r="U54" s="395"/>
      <c r="V54" s="395"/>
      <c r="W54" s="395"/>
      <c r="X54" s="425"/>
    </row>
    <row r="55" spans="1:24" s="303" customFormat="1" ht="28.5">
      <c r="A55" s="383" t="s">
        <v>579</v>
      </c>
      <c r="B55" s="384" t="s">
        <v>418</v>
      </c>
      <c r="C55" s="385" t="s">
        <v>1275</v>
      </c>
      <c r="D55" s="386"/>
      <c r="E55" s="387">
        <v>120</v>
      </c>
      <c r="F55" s="387">
        <v>127</v>
      </c>
      <c r="G55" s="384"/>
      <c r="H55" s="484"/>
      <c r="I55" s="384"/>
      <c r="J55" s="485"/>
      <c r="K55" s="394"/>
      <c r="L55" s="394"/>
      <c r="M55" s="394"/>
      <c r="N55" s="384"/>
      <c r="O55" s="384"/>
      <c r="P55" s="394"/>
      <c r="Q55" s="394"/>
      <c r="R55" s="394"/>
      <c r="S55" s="395"/>
      <c r="T55" s="395"/>
      <c r="U55" s="395"/>
      <c r="V55" s="395"/>
      <c r="W55" s="395"/>
      <c r="X55" s="425"/>
    </row>
    <row r="56" spans="1:24" s="335" customFormat="1" ht="42.75">
      <c r="A56" s="488" t="s">
        <v>580</v>
      </c>
      <c r="B56" s="489" t="s">
        <v>418</v>
      </c>
      <c r="C56" s="490" t="s">
        <v>1276</v>
      </c>
      <c r="D56" s="491" t="s">
        <v>1796</v>
      </c>
      <c r="E56" s="492">
        <v>330</v>
      </c>
      <c r="F56" s="492">
        <v>348</v>
      </c>
      <c r="G56" s="489"/>
      <c r="H56" s="493"/>
      <c r="I56" s="489"/>
      <c r="J56" s="494"/>
      <c r="K56" s="495"/>
      <c r="L56" s="495"/>
      <c r="M56" s="495"/>
      <c r="N56" s="489"/>
      <c r="O56" s="489"/>
      <c r="P56" s="495"/>
      <c r="Q56" s="495"/>
      <c r="R56" s="495"/>
      <c r="S56" s="611"/>
      <c r="T56" s="611"/>
      <c r="U56" s="611"/>
      <c r="V56" s="611"/>
      <c r="W56" s="611"/>
      <c r="X56" s="612"/>
    </row>
    <row r="57" spans="1:24" s="336" customFormat="1" ht="42.75">
      <c r="A57" s="351" t="s">
        <v>581</v>
      </c>
      <c r="B57" s="352" t="s">
        <v>418</v>
      </c>
      <c r="C57" s="353" t="s">
        <v>1277</v>
      </c>
      <c r="D57" s="354" t="s">
        <v>1811</v>
      </c>
      <c r="E57" s="355">
        <v>300</v>
      </c>
      <c r="F57" s="355">
        <v>317</v>
      </c>
      <c r="G57" s="352" t="s">
        <v>1749</v>
      </c>
      <c r="H57" s="357">
        <v>54.67074777394148</v>
      </c>
      <c r="I57" s="352">
        <v>57</v>
      </c>
      <c r="J57" s="496">
        <v>0.12</v>
      </c>
      <c r="K57" s="363" t="s">
        <v>1750</v>
      </c>
      <c r="L57" s="363" t="s">
        <v>2711</v>
      </c>
      <c r="M57" s="363"/>
      <c r="N57" s="352" t="s">
        <v>1751</v>
      </c>
      <c r="O57" s="352" t="s">
        <v>2712</v>
      </c>
      <c r="P57" s="363">
        <f>0.069/0.4</f>
        <v>0.17250000000000001</v>
      </c>
      <c r="Q57" s="363" t="s">
        <v>2713</v>
      </c>
      <c r="R57" s="363">
        <f>1+0.1725</f>
        <v>1.1724999999999999</v>
      </c>
      <c r="S57" s="348">
        <v>10.3193</v>
      </c>
      <c r="T57" s="348">
        <v>0.18876</v>
      </c>
      <c r="U57" s="348">
        <v>4.5866</v>
      </c>
      <c r="V57" s="348">
        <v>0.08389</v>
      </c>
      <c r="W57" s="348">
        <v>1124.074</v>
      </c>
      <c r="X57" s="416">
        <v>20.56108</v>
      </c>
    </row>
    <row r="58" spans="1:24" s="303" customFormat="1" ht="42.75">
      <c r="A58" s="383" t="s">
        <v>582</v>
      </c>
      <c r="B58" s="384" t="s">
        <v>418</v>
      </c>
      <c r="C58" s="385" t="s">
        <v>1278</v>
      </c>
      <c r="D58" s="386"/>
      <c r="E58" s="387">
        <v>30</v>
      </c>
      <c r="F58" s="387">
        <v>32</v>
      </c>
      <c r="G58" s="384"/>
      <c r="H58" s="484"/>
      <c r="I58" s="384"/>
      <c r="J58" s="485"/>
      <c r="K58" s="394"/>
      <c r="L58" s="394"/>
      <c r="M58" s="394"/>
      <c r="N58" s="384"/>
      <c r="O58" s="384"/>
      <c r="P58" s="394"/>
      <c r="Q58" s="394"/>
      <c r="R58" s="394"/>
      <c r="S58" s="395"/>
      <c r="T58" s="395"/>
      <c r="U58" s="395"/>
      <c r="V58" s="395"/>
      <c r="W58" s="395"/>
      <c r="X58" s="425"/>
    </row>
    <row r="59" spans="1:24" s="337" customFormat="1" ht="28.5">
      <c r="A59" s="383" t="s">
        <v>583</v>
      </c>
      <c r="B59" s="498" t="s">
        <v>418</v>
      </c>
      <c r="C59" s="499" t="s">
        <v>1279</v>
      </c>
      <c r="D59" s="500"/>
      <c r="E59" s="501" t="s">
        <v>1689</v>
      </c>
      <c r="F59" s="501" t="s">
        <v>1689</v>
      </c>
      <c r="G59" s="498"/>
      <c r="H59" s="502"/>
      <c r="I59" s="498"/>
      <c r="J59" s="503"/>
      <c r="K59" s="504"/>
      <c r="L59" s="504"/>
      <c r="M59" s="504"/>
      <c r="N59" s="498"/>
      <c r="O59" s="498"/>
      <c r="P59" s="504"/>
      <c r="Q59" s="504"/>
      <c r="R59" s="394"/>
      <c r="S59" s="441"/>
      <c r="T59" s="441"/>
      <c r="U59" s="441"/>
      <c r="V59" s="441"/>
      <c r="W59" s="441"/>
      <c r="X59" s="442"/>
    </row>
    <row r="60" spans="1:24" s="334" customFormat="1" ht="30">
      <c r="A60" s="398" t="s">
        <v>584</v>
      </c>
      <c r="B60" s="399" t="s">
        <v>418</v>
      </c>
      <c r="C60" s="400" t="s">
        <v>1280</v>
      </c>
      <c r="D60" s="401" t="s">
        <v>1798</v>
      </c>
      <c r="E60" s="402">
        <v>1960</v>
      </c>
      <c r="F60" s="402">
        <v>2240</v>
      </c>
      <c r="G60" s="399"/>
      <c r="H60" s="486"/>
      <c r="I60" s="399"/>
      <c r="J60" s="487"/>
      <c r="K60" s="409"/>
      <c r="L60" s="409"/>
      <c r="M60" s="409"/>
      <c r="N60" s="399"/>
      <c r="O60" s="399"/>
      <c r="P60" s="409"/>
      <c r="Q60" s="409"/>
      <c r="R60" s="409"/>
      <c r="S60" s="410"/>
      <c r="T60" s="410"/>
      <c r="U60" s="410"/>
      <c r="V60" s="410"/>
      <c r="W60" s="410"/>
      <c r="X60" s="433"/>
    </row>
    <row r="61" spans="1:24" s="335" customFormat="1" ht="28.5">
      <c r="A61" s="488" t="s">
        <v>585</v>
      </c>
      <c r="B61" s="489" t="s">
        <v>418</v>
      </c>
      <c r="C61" s="490" t="s">
        <v>1281</v>
      </c>
      <c r="D61" s="491" t="s">
        <v>1799</v>
      </c>
      <c r="E61" s="492">
        <v>820</v>
      </c>
      <c r="F61" s="492">
        <v>937</v>
      </c>
      <c r="G61" s="489"/>
      <c r="H61" s="493"/>
      <c r="I61" s="489"/>
      <c r="J61" s="494"/>
      <c r="K61" s="495"/>
      <c r="L61" s="495"/>
      <c r="M61" s="495"/>
      <c r="N61" s="489"/>
      <c r="O61" s="489"/>
      <c r="P61" s="495"/>
      <c r="Q61" s="495"/>
      <c r="R61" s="495"/>
      <c r="S61" s="611"/>
      <c r="T61" s="611"/>
      <c r="U61" s="611"/>
      <c r="V61" s="611"/>
      <c r="W61" s="611"/>
      <c r="X61" s="612"/>
    </row>
    <row r="62" spans="1:24" s="303" customFormat="1" ht="15">
      <c r="A62" s="383" t="s">
        <v>586</v>
      </c>
      <c r="B62" s="384" t="s">
        <v>418</v>
      </c>
      <c r="C62" s="385" t="s">
        <v>1282</v>
      </c>
      <c r="D62" s="386"/>
      <c r="E62" s="387">
        <v>40</v>
      </c>
      <c r="F62" s="387">
        <v>46</v>
      </c>
      <c r="G62" s="384"/>
      <c r="H62" s="484"/>
      <c r="I62" s="384"/>
      <c r="J62" s="485"/>
      <c r="K62" s="394"/>
      <c r="L62" s="394"/>
      <c r="M62" s="394"/>
      <c r="N62" s="384"/>
      <c r="O62" s="384"/>
      <c r="P62" s="394"/>
      <c r="Q62" s="394"/>
      <c r="R62" s="394"/>
      <c r="S62" s="395"/>
      <c r="T62" s="395"/>
      <c r="U62" s="395"/>
      <c r="V62" s="395"/>
      <c r="W62" s="395"/>
      <c r="X62" s="425"/>
    </row>
    <row r="63" spans="1:24" s="336" customFormat="1" ht="15">
      <c r="A63" s="351" t="s">
        <v>587</v>
      </c>
      <c r="B63" s="352" t="s">
        <v>418</v>
      </c>
      <c r="C63" s="353" t="s">
        <v>1283</v>
      </c>
      <c r="D63" s="354" t="s">
        <v>1805</v>
      </c>
      <c r="E63" s="355">
        <v>140</v>
      </c>
      <c r="F63" s="355">
        <v>160</v>
      </c>
      <c r="G63" s="352" t="s">
        <v>2714</v>
      </c>
      <c r="H63" s="357">
        <v>126.80169426733005</v>
      </c>
      <c r="I63" s="352">
        <f>(127.25+157.07+141.2)/3</f>
        <v>141.84</v>
      </c>
      <c r="J63" s="496">
        <v>0.12</v>
      </c>
      <c r="K63" s="363"/>
      <c r="L63" s="363">
        <v>2.38</v>
      </c>
      <c r="M63" s="363" t="s">
        <v>2715</v>
      </c>
      <c r="N63" s="352" t="s">
        <v>2716</v>
      </c>
      <c r="O63" s="352" t="s">
        <v>2717</v>
      </c>
      <c r="P63" s="363" t="s">
        <v>2718</v>
      </c>
      <c r="Q63" s="363"/>
      <c r="R63" s="363">
        <f>1+0.0375+0.01</f>
        <v>1.0475</v>
      </c>
      <c r="S63" s="348">
        <v>8.179</v>
      </c>
      <c r="T63" s="348">
        <v>0.06481</v>
      </c>
      <c r="U63" s="348">
        <v>0.2055</v>
      </c>
      <c r="V63" s="348">
        <v>0.00162</v>
      </c>
      <c r="W63" s="348">
        <v>574.5712</v>
      </c>
      <c r="X63" s="416">
        <v>4.53132</v>
      </c>
    </row>
    <row r="64" spans="1:24" s="338" customFormat="1" ht="15">
      <c r="A64" s="364" t="s">
        <v>588</v>
      </c>
      <c r="B64" s="365" t="s">
        <v>418</v>
      </c>
      <c r="C64" s="366" t="s">
        <v>1284</v>
      </c>
      <c r="D64" s="367" t="s">
        <v>1800</v>
      </c>
      <c r="E64" s="368">
        <v>410</v>
      </c>
      <c r="F64" s="368">
        <v>468</v>
      </c>
      <c r="G64" s="365" t="s">
        <v>2719</v>
      </c>
      <c r="H64" s="370">
        <v>165.2784633117878</v>
      </c>
      <c r="I64" s="365">
        <f>(184.88)/1</f>
        <v>184.88</v>
      </c>
      <c r="J64" s="505">
        <v>0.12</v>
      </c>
      <c r="K64" s="375"/>
      <c r="L64" s="375">
        <v>1.52</v>
      </c>
      <c r="M64" s="375" t="s">
        <v>2720</v>
      </c>
      <c r="N64" s="365" t="s">
        <v>2466</v>
      </c>
      <c r="O64" s="365" t="s">
        <v>2721</v>
      </c>
      <c r="P64" s="375"/>
      <c r="Q64" s="375"/>
      <c r="R64" s="375"/>
      <c r="S64" s="376"/>
      <c r="T64" s="376"/>
      <c r="U64" s="376"/>
      <c r="V64" s="376"/>
      <c r="W64" s="376"/>
      <c r="X64" s="613"/>
    </row>
    <row r="65" spans="1:24" s="336" customFormat="1" ht="15">
      <c r="A65" s="351" t="s">
        <v>589</v>
      </c>
      <c r="B65" s="352" t="s">
        <v>418</v>
      </c>
      <c r="C65" s="353" t="s">
        <v>1285</v>
      </c>
      <c r="D65" s="354" t="s">
        <v>2722</v>
      </c>
      <c r="E65" s="355">
        <v>40</v>
      </c>
      <c r="F65" s="355">
        <v>46</v>
      </c>
      <c r="G65" s="352" t="s">
        <v>2723</v>
      </c>
      <c r="H65" s="357">
        <v>347.75704364066127</v>
      </c>
      <c r="I65" s="352">
        <v>389</v>
      </c>
      <c r="J65" s="496">
        <v>0.12</v>
      </c>
      <c r="K65" s="363" t="s">
        <v>2724</v>
      </c>
      <c r="L65" s="380">
        <f>1/0.9</f>
        <v>1.1111111111111112</v>
      </c>
      <c r="M65" s="363" t="s">
        <v>2725</v>
      </c>
      <c r="N65" s="352" t="s">
        <v>2726</v>
      </c>
      <c r="O65" s="352"/>
      <c r="P65" s="363">
        <f>P67</f>
        <v>0.02</v>
      </c>
      <c r="Q65" s="363" t="str">
        <f>Q67</f>
        <v>plastic</v>
      </c>
      <c r="R65" s="363">
        <f>1+0.02</f>
        <v>1.02</v>
      </c>
      <c r="S65" s="348">
        <v>16.1981</v>
      </c>
      <c r="T65" s="348">
        <v>0.04865</v>
      </c>
      <c r="U65" s="348">
        <v>0.0421</v>
      </c>
      <c r="V65" s="348">
        <v>1.2E-05</v>
      </c>
      <c r="W65" s="348">
        <v>428.2187</v>
      </c>
      <c r="X65" s="416">
        <v>1.23136</v>
      </c>
    </row>
    <row r="66" spans="1:24" s="303" customFormat="1" ht="28.5">
      <c r="A66" s="383" t="s">
        <v>590</v>
      </c>
      <c r="B66" s="384" t="s">
        <v>418</v>
      </c>
      <c r="C66" s="385" t="s">
        <v>1286</v>
      </c>
      <c r="D66" s="386"/>
      <c r="E66" s="387">
        <v>190</v>
      </c>
      <c r="F66" s="387">
        <v>217</v>
      </c>
      <c r="G66" s="384"/>
      <c r="H66" s="484"/>
      <c r="I66" s="384"/>
      <c r="J66" s="485"/>
      <c r="K66" s="394"/>
      <c r="L66" s="394"/>
      <c r="M66" s="394"/>
      <c r="N66" s="384"/>
      <c r="O66" s="384"/>
      <c r="P66" s="394"/>
      <c r="Q66" s="394"/>
      <c r="R66" s="394"/>
      <c r="S66" s="395"/>
      <c r="T66" s="395"/>
      <c r="U66" s="395"/>
      <c r="V66" s="395"/>
      <c r="W66" s="395"/>
      <c r="X66" s="425"/>
    </row>
    <row r="67" spans="1:24" s="336" customFormat="1" ht="42.75">
      <c r="A67" s="351" t="s">
        <v>591</v>
      </c>
      <c r="B67" s="352" t="s">
        <v>418</v>
      </c>
      <c r="C67" s="353" t="s">
        <v>1648</v>
      </c>
      <c r="D67" s="354" t="s">
        <v>1802</v>
      </c>
      <c r="E67" s="355">
        <v>320</v>
      </c>
      <c r="F67" s="355">
        <v>366</v>
      </c>
      <c r="G67" s="352" t="s">
        <v>2727</v>
      </c>
      <c r="H67" s="357">
        <v>178.68811795088783</v>
      </c>
      <c r="I67" s="352">
        <f>199.88</f>
        <v>199.88</v>
      </c>
      <c r="J67" s="496">
        <v>0.12</v>
      </c>
      <c r="K67" s="363" t="s">
        <v>2728</v>
      </c>
      <c r="L67" s="363">
        <v>2.5</v>
      </c>
      <c r="M67" s="363" t="s">
        <v>2729</v>
      </c>
      <c r="N67" s="352" t="s">
        <v>2730</v>
      </c>
      <c r="O67" s="352" t="s">
        <v>2731</v>
      </c>
      <c r="P67" s="363">
        <f>0.008/0.4</f>
        <v>0.02</v>
      </c>
      <c r="Q67" s="363" t="s">
        <v>2732</v>
      </c>
      <c r="R67" s="363">
        <f>1+0.02</f>
        <v>1.02</v>
      </c>
      <c r="S67" s="348">
        <v>14.305</v>
      </c>
      <c r="T67" s="348">
        <v>0.08005</v>
      </c>
      <c r="U67" s="348">
        <v>0.0229</v>
      </c>
      <c r="V67" s="348">
        <v>0.00013</v>
      </c>
      <c r="W67" s="348">
        <v>894.4679</v>
      </c>
      <c r="X67" s="416">
        <v>5.0057</v>
      </c>
    </row>
    <row r="68" spans="1:24" s="337" customFormat="1" ht="57">
      <c r="A68" s="383" t="s">
        <v>592</v>
      </c>
      <c r="B68" s="498" t="s">
        <v>418</v>
      </c>
      <c r="C68" s="499" t="s">
        <v>1649</v>
      </c>
      <c r="D68" s="500" t="s">
        <v>1801</v>
      </c>
      <c r="E68" s="501">
        <v>150</v>
      </c>
      <c r="F68" s="501">
        <v>171</v>
      </c>
      <c r="G68" s="498" t="s">
        <v>1692</v>
      </c>
      <c r="H68" s="502"/>
      <c r="I68" s="498"/>
      <c r="J68" s="503">
        <v>0.12</v>
      </c>
      <c r="K68" s="504"/>
      <c r="L68" s="504"/>
      <c r="M68" s="504"/>
      <c r="N68" s="498"/>
      <c r="O68" s="498"/>
      <c r="P68" s="504"/>
      <c r="Q68" s="504"/>
      <c r="R68" s="504"/>
      <c r="S68" s="441"/>
      <c r="T68" s="441"/>
      <c r="U68" s="441"/>
      <c r="V68" s="441"/>
      <c r="W68" s="441"/>
      <c r="X68" s="442"/>
    </row>
    <row r="69" spans="1:24" s="335" customFormat="1" ht="57">
      <c r="A69" s="488" t="s">
        <v>593</v>
      </c>
      <c r="B69" s="489" t="s">
        <v>418</v>
      </c>
      <c r="C69" s="490" t="s">
        <v>1803</v>
      </c>
      <c r="D69" s="491" t="s">
        <v>1813</v>
      </c>
      <c r="E69" s="492">
        <v>660</v>
      </c>
      <c r="F69" s="492">
        <v>754</v>
      </c>
      <c r="G69" s="489"/>
      <c r="H69" s="493"/>
      <c r="I69" s="489"/>
      <c r="J69" s="494"/>
      <c r="K69" s="495"/>
      <c r="L69" s="495"/>
      <c r="M69" s="495"/>
      <c r="N69" s="489"/>
      <c r="O69" s="489"/>
      <c r="P69" s="495"/>
      <c r="Q69" s="495"/>
      <c r="R69" s="495"/>
      <c r="S69" s="611"/>
      <c r="T69" s="611"/>
      <c r="U69" s="611"/>
      <c r="V69" s="611"/>
      <c r="W69" s="611"/>
      <c r="X69" s="612"/>
    </row>
    <row r="70" spans="1:24" s="336" customFormat="1" ht="42.75">
      <c r="A70" s="351" t="s">
        <v>594</v>
      </c>
      <c r="B70" s="352" t="s">
        <v>418</v>
      </c>
      <c r="C70" s="353" t="s">
        <v>1650</v>
      </c>
      <c r="D70" s="354" t="s">
        <v>1804</v>
      </c>
      <c r="E70" s="355">
        <v>230</v>
      </c>
      <c r="F70" s="355">
        <v>263</v>
      </c>
      <c r="G70" s="352" t="s">
        <v>2733</v>
      </c>
      <c r="H70" s="357">
        <v>72.356261490144</v>
      </c>
      <c r="I70" s="357">
        <f>(18.95/0.24+19.9/0.24)/2</f>
        <v>80.9375</v>
      </c>
      <c r="J70" s="496">
        <v>0.12</v>
      </c>
      <c r="K70" s="363" t="s">
        <v>2734</v>
      </c>
      <c r="L70" s="363" t="s">
        <v>2735</v>
      </c>
      <c r="M70" s="363"/>
      <c r="N70" s="352" t="s">
        <v>1751</v>
      </c>
      <c r="O70" s="352" t="s">
        <v>2736</v>
      </c>
      <c r="P70" s="363" t="s">
        <v>2737</v>
      </c>
      <c r="Q70" s="363"/>
      <c r="R70" s="363">
        <f>1+0.0375+0.175</f>
        <v>1.2125000000000001</v>
      </c>
      <c r="S70" s="348">
        <v>3.9546</v>
      </c>
      <c r="T70" s="348">
        <v>0.0545</v>
      </c>
      <c r="U70" s="348">
        <v>0.2124</v>
      </c>
      <c r="V70" s="348">
        <v>0.00293</v>
      </c>
      <c r="W70" s="348">
        <v>943.1405</v>
      </c>
      <c r="X70" s="416">
        <v>12.99808</v>
      </c>
    </row>
    <row r="71" spans="1:24" s="303" customFormat="1" ht="28.5">
      <c r="A71" s="383" t="s">
        <v>595</v>
      </c>
      <c r="B71" s="384" t="s">
        <v>418</v>
      </c>
      <c r="C71" s="385" t="s">
        <v>1651</v>
      </c>
      <c r="D71" s="386"/>
      <c r="E71" s="387">
        <v>70</v>
      </c>
      <c r="F71" s="387">
        <v>80</v>
      </c>
      <c r="G71" s="384"/>
      <c r="H71" s="484"/>
      <c r="I71" s="384"/>
      <c r="J71" s="485"/>
      <c r="K71" s="394"/>
      <c r="L71" s="394"/>
      <c r="M71" s="394"/>
      <c r="N71" s="384"/>
      <c r="O71" s="384"/>
      <c r="P71" s="394"/>
      <c r="Q71" s="394"/>
      <c r="R71" s="394"/>
      <c r="S71" s="395"/>
      <c r="T71" s="395"/>
      <c r="U71" s="395"/>
      <c r="V71" s="395"/>
      <c r="W71" s="395"/>
      <c r="X71" s="425"/>
    </row>
    <row r="72" spans="1:24" s="336" customFormat="1" ht="71.25">
      <c r="A72" s="351" t="s">
        <v>596</v>
      </c>
      <c r="B72" s="352" t="s">
        <v>418</v>
      </c>
      <c r="C72" s="353" t="s">
        <v>1652</v>
      </c>
      <c r="D72" s="354" t="s">
        <v>1814</v>
      </c>
      <c r="E72" s="355">
        <v>140</v>
      </c>
      <c r="F72" s="355">
        <v>160</v>
      </c>
      <c r="G72" s="352" t="s">
        <v>1738</v>
      </c>
      <c r="H72" s="357">
        <v>90.34531318849673</v>
      </c>
      <c r="I72" s="352">
        <v>101.06</v>
      </c>
      <c r="J72" s="496">
        <v>0.12</v>
      </c>
      <c r="K72" s="363" t="s">
        <v>2738</v>
      </c>
      <c r="L72" s="363" t="s">
        <v>2739</v>
      </c>
      <c r="M72" s="363"/>
      <c r="N72" s="352" t="s">
        <v>1751</v>
      </c>
      <c r="O72" s="352" t="s">
        <v>2740</v>
      </c>
      <c r="P72" s="363" t="s">
        <v>2741</v>
      </c>
      <c r="Q72" s="363"/>
      <c r="R72" s="363">
        <f>1+0.079+0.005</f>
        <v>1.0839999999999999</v>
      </c>
      <c r="S72" s="348">
        <v>3.3167</v>
      </c>
      <c r="T72" s="348">
        <v>0.03157</v>
      </c>
      <c r="U72" s="348">
        <v>1.3708</v>
      </c>
      <c r="V72" s="348">
        <v>0.01517</v>
      </c>
      <c r="W72" s="348">
        <v>109.5822</v>
      </c>
      <c r="X72" s="416">
        <v>1.21286</v>
      </c>
    </row>
    <row r="73" spans="1:24" s="336" customFormat="1" ht="42.75">
      <c r="A73" s="351" t="s">
        <v>597</v>
      </c>
      <c r="B73" s="352" t="s">
        <v>418</v>
      </c>
      <c r="C73" s="353" t="s">
        <v>1653</v>
      </c>
      <c r="D73" s="354" t="s">
        <v>1812</v>
      </c>
      <c r="E73" s="355">
        <v>140</v>
      </c>
      <c r="F73" s="355">
        <v>160</v>
      </c>
      <c r="G73" s="506" t="s">
        <v>2742</v>
      </c>
      <c r="H73" s="357">
        <v>55.936139384566005</v>
      </c>
      <c r="I73" s="352">
        <v>62.57</v>
      </c>
      <c r="J73" s="496">
        <v>0.12</v>
      </c>
      <c r="K73" s="363" t="s">
        <v>2743</v>
      </c>
      <c r="L73" s="363" t="s">
        <v>2744</v>
      </c>
      <c r="M73" s="363"/>
      <c r="N73" s="352" t="s">
        <v>1751</v>
      </c>
      <c r="O73" s="352" t="s">
        <v>2745</v>
      </c>
      <c r="P73" s="363" t="s">
        <v>2746</v>
      </c>
      <c r="Q73" s="363"/>
      <c r="R73" s="363">
        <f>1+0.05+0.047</f>
        <v>1.097</v>
      </c>
      <c r="S73" s="348">
        <v>1.9169</v>
      </c>
      <c r="T73" s="348">
        <v>0.03427</v>
      </c>
      <c r="U73" s="348">
        <v>0.4978</v>
      </c>
      <c r="V73" s="348">
        <v>0.0089</v>
      </c>
      <c r="W73" s="348">
        <v>406.1435</v>
      </c>
      <c r="X73" s="416">
        <v>7.26034</v>
      </c>
    </row>
    <row r="74" spans="1:24" s="303" customFormat="1" ht="28.5">
      <c r="A74" s="383" t="s">
        <v>598</v>
      </c>
      <c r="B74" s="384" t="s">
        <v>418</v>
      </c>
      <c r="C74" s="385" t="s">
        <v>1654</v>
      </c>
      <c r="D74" s="386"/>
      <c r="E74" s="387">
        <v>0</v>
      </c>
      <c r="F74" s="387">
        <v>0</v>
      </c>
      <c r="G74" s="384"/>
      <c r="H74" s="484"/>
      <c r="I74" s="384" t="s">
        <v>2747</v>
      </c>
      <c r="J74" s="507"/>
      <c r="K74" s="504"/>
      <c r="L74" s="504"/>
      <c r="M74" s="504"/>
      <c r="N74" s="498"/>
      <c r="O74" s="502"/>
      <c r="P74" s="504"/>
      <c r="Q74" s="504"/>
      <c r="R74" s="394"/>
      <c r="S74" s="395"/>
      <c r="T74" s="395"/>
      <c r="U74" s="395"/>
      <c r="V74" s="395"/>
      <c r="W74" s="395"/>
      <c r="X74" s="425"/>
    </row>
    <row r="75" spans="1:24" s="303" customFormat="1" ht="28.5">
      <c r="A75" s="383" t="s">
        <v>599</v>
      </c>
      <c r="B75" s="384" t="s">
        <v>418</v>
      </c>
      <c r="C75" s="385" t="s">
        <v>1655</v>
      </c>
      <c r="D75" s="386"/>
      <c r="E75" s="387">
        <v>90</v>
      </c>
      <c r="F75" s="387">
        <v>103</v>
      </c>
      <c r="G75" s="384"/>
      <c r="H75" s="484"/>
      <c r="I75" s="384"/>
      <c r="J75" s="485"/>
      <c r="K75" s="394"/>
      <c r="L75" s="394"/>
      <c r="M75" s="394"/>
      <c r="N75" s="384"/>
      <c r="O75" s="384"/>
      <c r="P75" s="394"/>
      <c r="Q75" s="394"/>
      <c r="R75" s="394"/>
      <c r="S75" s="395"/>
      <c r="T75" s="395"/>
      <c r="U75" s="395"/>
      <c r="V75" s="395"/>
      <c r="W75" s="395"/>
      <c r="X75" s="425"/>
    </row>
    <row r="76" spans="1:24" s="334" customFormat="1" ht="15.75">
      <c r="A76" s="398" t="s">
        <v>600</v>
      </c>
      <c r="B76" s="399" t="s">
        <v>418</v>
      </c>
      <c r="C76" s="400" t="s">
        <v>1656</v>
      </c>
      <c r="D76" s="401"/>
      <c r="E76" s="402">
        <v>5460</v>
      </c>
      <c r="F76" s="402">
        <v>5782</v>
      </c>
      <c r="G76" s="399"/>
      <c r="H76" s="486"/>
      <c r="I76" s="399"/>
      <c r="J76" s="487"/>
      <c r="K76" s="409"/>
      <c r="L76" s="409"/>
      <c r="M76" s="409"/>
      <c r="N76" s="399"/>
      <c r="O76" s="399"/>
      <c r="P76" s="409"/>
      <c r="Q76" s="409"/>
      <c r="R76" s="409"/>
      <c r="S76" s="410"/>
      <c r="T76" s="410"/>
      <c r="U76" s="410"/>
      <c r="V76" s="410"/>
      <c r="W76" s="410"/>
      <c r="X76" s="433"/>
    </row>
    <row r="77" spans="1:24" s="303" customFormat="1" ht="15">
      <c r="A77" s="383" t="s">
        <v>601</v>
      </c>
      <c r="B77" s="384" t="s">
        <v>418</v>
      </c>
      <c r="C77" s="385" t="s">
        <v>1522</v>
      </c>
      <c r="D77" s="386"/>
      <c r="E77" s="387">
        <v>330</v>
      </c>
      <c r="F77" s="387">
        <v>349</v>
      </c>
      <c r="G77" s="384"/>
      <c r="H77" s="484"/>
      <c r="I77" s="384"/>
      <c r="J77" s="485"/>
      <c r="K77" s="394"/>
      <c r="L77" s="394"/>
      <c r="M77" s="394"/>
      <c r="N77" s="384"/>
      <c r="O77" s="384"/>
      <c r="P77" s="394"/>
      <c r="Q77" s="394"/>
      <c r="R77" s="394"/>
      <c r="S77" s="395"/>
      <c r="T77" s="395"/>
      <c r="U77" s="395"/>
      <c r="V77" s="395"/>
      <c r="W77" s="395"/>
      <c r="X77" s="425"/>
    </row>
    <row r="78" spans="1:24" s="336" customFormat="1" ht="15">
      <c r="A78" s="351" t="s">
        <v>602</v>
      </c>
      <c r="B78" s="352" t="s">
        <v>418</v>
      </c>
      <c r="C78" s="353" t="s">
        <v>1523</v>
      </c>
      <c r="D78" s="354" t="s">
        <v>1816</v>
      </c>
      <c r="E78" s="355">
        <v>800</v>
      </c>
      <c r="F78" s="355">
        <v>847</v>
      </c>
      <c r="G78" s="352" t="s">
        <v>1765</v>
      </c>
      <c r="H78" s="357">
        <v>9.365310304978241</v>
      </c>
      <c r="I78" s="352">
        <v>10.1</v>
      </c>
      <c r="J78" s="496">
        <v>0.12</v>
      </c>
      <c r="K78" s="363" t="s">
        <v>2748</v>
      </c>
      <c r="L78" s="363" t="s">
        <v>1866</v>
      </c>
      <c r="M78" s="363"/>
      <c r="N78" s="352" t="s">
        <v>1751</v>
      </c>
      <c r="O78" s="352" t="s">
        <v>1730</v>
      </c>
      <c r="P78" s="363" t="s">
        <v>1731</v>
      </c>
      <c r="Q78" s="363" t="s">
        <v>2749</v>
      </c>
      <c r="R78" s="363">
        <f>1+0.034+0.001</f>
        <v>1.035</v>
      </c>
      <c r="S78" s="348">
        <v>1.6943</v>
      </c>
      <c r="T78" s="348">
        <v>0.18073</v>
      </c>
      <c r="U78" s="348">
        <v>0.4097</v>
      </c>
      <c r="V78" s="348">
        <v>0.04372</v>
      </c>
      <c r="W78" s="348" t="s">
        <v>2750</v>
      </c>
      <c r="X78" s="416">
        <v>20.68202</v>
      </c>
    </row>
    <row r="79" spans="1:24" s="303" customFormat="1" ht="15">
      <c r="A79" s="383" t="s">
        <v>603</v>
      </c>
      <c r="B79" s="384" t="s">
        <v>418</v>
      </c>
      <c r="C79" s="385" t="s">
        <v>1524</v>
      </c>
      <c r="D79" s="386"/>
      <c r="E79" s="387">
        <v>0</v>
      </c>
      <c r="F79" s="387">
        <v>0</v>
      </c>
      <c r="G79" s="384"/>
      <c r="H79" s="484"/>
      <c r="I79" s="384"/>
      <c r="J79" s="485"/>
      <c r="K79" s="394"/>
      <c r="L79" s="394"/>
      <c r="M79" s="394"/>
      <c r="N79" s="384"/>
      <c r="O79" s="384"/>
      <c r="P79" s="394"/>
      <c r="Q79" s="394"/>
      <c r="R79" s="394"/>
      <c r="S79" s="395"/>
      <c r="T79" s="395"/>
      <c r="U79" s="395"/>
      <c r="V79" s="395"/>
      <c r="W79" s="395"/>
      <c r="X79" s="425"/>
    </row>
    <row r="80" spans="1:24" s="336" customFormat="1" ht="142.5">
      <c r="A80" s="351" t="s">
        <v>604</v>
      </c>
      <c r="B80" s="352" t="s">
        <v>418</v>
      </c>
      <c r="C80" s="353" t="s">
        <v>1525</v>
      </c>
      <c r="D80" s="354" t="s">
        <v>1817</v>
      </c>
      <c r="E80" s="355">
        <v>590</v>
      </c>
      <c r="F80" s="355">
        <v>625</v>
      </c>
      <c r="G80" s="352" t="s">
        <v>1764</v>
      </c>
      <c r="H80" s="357">
        <v>18.730620609956482</v>
      </c>
      <c r="I80" s="352">
        <v>20.2</v>
      </c>
      <c r="J80" s="496">
        <v>0.12</v>
      </c>
      <c r="K80" s="363" t="s">
        <v>2751</v>
      </c>
      <c r="L80" s="363" t="s">
        <v>2752</v>
      </c>
      <c r="M80" s="363"/>
      <c r="N80" s="352" t="s">
        <v>1751</v>
      </c>
      <c r="O80" s="352" t="s">
        <v>1730</v>
      </c>
      <c r="P80" s="363" t="s">
        <v>1741</v>
      </c>
      <c r="Q80" s="363" t="s">
        <v>1781</v>
      </c>
      <c r="R80" s="363">
        <f>1+0.031+0.006</f>
        <v>1.037</v>
      </c>
      <c r="S80" s="348">
        <v>1.9582</v>
      </c>
      <c r="T80" s="348">
        <v>0.10455</v>
      </c>
      <c r="U80" s="348">
        <v>0.5859</v>
      </c>
      <c r="V80" s="348">
        <v>0.03128</v>
      </c>
      <c r="W80" s="348" t="s">
        <v>2753</v>
      </c>
      <c r="X80" s="416">
        <v>10.92309</v>
      </c>
    </row>
    <row r="81" spans="1:24" s="336" customFormat="1" ht="28.5">
      <c r="A81" s="351" t="s">
        <v>605</v>
      </c>
      <c r="B81" s="352" t="s">
        <v>418</v>
      </c>
      <c r="C81" s="353" t="s">
        <v>1526</v>
      </c>
      <c r="D81" s="354" t="s">
        <v>1818</v>
      </c>
      <c r="E81" s="355">
        <v>370</v>
      </c>
      <c r="F81" s="355">
        <v>392</v>
      </c>
      <c r="G81" s="352" t="s">
        <v>2082</v>
      </c>
      <c r="H81" s="357">
        <v>13.723425001354256</v>
      </c>
      <c r="I81" s="352">
        <v>14.8</v>
      </c>
      <c r="J81" s="496">
        <v>0.12</v>
      </c>
      <c r="K81" s="363" t="s">
        <v>2754</v>
      </c>
      <c r="L81" s="363" t="s">
        <v>1866</v>
      </c>
      <c r="M81" s="363"/>
      <c r="N81" s="352" t="s">
        <v>1751</v>
      </c>
      <c r="O81" s="352" t="s">
        <v>1730</v>
      </c>
      <c r="P81" s="363" t="s">
        <v>1741</v>
      </c>
      <c r="Q81" s="363" t="s">
        <v>1780</v>
      </c>
      <c r="R81" s="363">
        <f>1+0.031+0.006</f>
        <v>1.037</v>
      </c>
      <c r="S81" s="348">
        <v>1.9386</v>
      </c>
      <c r="T81" s="348">
        <v>0.1413</v>
      </c>
      <c r="U81" s="348">
        <v>0.4586</v>
      </c>
      <c r="V81" s="348">
        <v>0.03342</v>
      </c>
      <c r="W81" s="348">
        <v>195.1983</v>
      </c>
      <c r="X81" s="416">
        <v>14.22728</v>
      </c>
    </row>
    <row r="82" spans="1:24" s="335" customFormat="1" ht="28.5">
      <c r="A82" s="488" t="s">
        <v>606</v>
      </c>
      <c r="B82" s="489" t="s">
        <v>418</v>
      </c>
      <c r="C82" s="490" t="s">
        <v>1527</v>
      </c>
      <c r="D82" s="491" t="s">
        <v>1849</v>
      </c>
      <c r="E82" s="492">
        <v>2130</v>
      </c>
      <c r="F82" s="492">
        <v>2256</v>
      </c>
      <c r="G82" s="489"/>
      <c r="H82" s="493"/>
      <c r="I82" s="489"/>
      <c r="J82" s="494"/>
      <c r="K82" s="495"/>
      <c r="L82" s="495"/>
      <c r="M82" s="495"/>
      <c r="N82" s="489"/>
      <c r="O82" s="489"/>
      <c r="P82" s="495"/>
      <c r="Q82" s="495"/>
      <c r="R82" s="495"/>
      <c r="S82" s="611"/>
      <c r="T82" s="611"/>
      <c r="U82" s="611"/>
      <c r="V82" s="611"/>
      <c r="W82" s="611"/>
      <c r="X82" s="612"/>
    </row>
    <row r="83" spans="1:24" s="336" customFormat="1" ht="15">
      <c r="A83" s="351" t="s">
        <v>607</v>
      </c>
      <c r="B83" s="352" t="s">
        <v>418</v>
      </c>
      <c r="C83" s="353" t="s">
        <v>1528</v>
      </c>
      <c r="D83" s="354" t="s">
        <v>1847</v>
      </c>
      <c r="E83" s="355">
        <v>1500</v>
      </c>
      <c r="F83" s="355">
        <v>1588</v>
      </c>
      <c r="G83" s="352" t="s">
        <v>1740</v>
      </c>
      <c r="H83" s="357">
        <v>89.01681081959518</v>
      </c>
      <c r="I83" s="352">
        <v>96</v>
      </c>
      <c r="J83" s="496">
        <v>0.12</v>
      </c>
      <c r="K83" s="363" t="s">
        <v>2755</v>
      </c>
      <c r="L83" s="363" t="s">
        <v>2756</v>
      </c>
      <c r="M83" s="363"/>
      <c r="N83" s="352" t="s">
        <v>1751</v>
      </c>
      <c r="O83" s="352" t="s">
        <v>1715</v>
      </c>
      <c r="P83" s="363" t="s">
        <v>2757</v>
      </c>
      <c r="Q83" s="363" t="s">
        <v>2140</v>
      </c>
      <c r="R83" s="363">
        <f>1+0.011</f>
        <v>1.011</v>
      </c>
      <c r="S83" s="348">
        <v>12.3959</v>
      </c>
      <c r="T83" s="348">
        <v>0.13925</v>
      </c>
      <c r="U83" s="348">
        <v>2.0047</v>
      </c>
      <c r="V83" s="348">
        <v>0.02252</v>
      </c>
      <c r="W83" s="348">
        <v>71.6038</v>
      </c>
      <c r="X83" s="416">
        <v>0.80436</v>
      </c>
    </row>
    <row r="84" spans="1:24" s="303" customFormat="1" ht="15">
      <c r="A84" s="383" t="s">
        <v>422</v>
      </c>
      <c r="B84" s="384" t="s">
        <v>418</v>
      </c>
      <c r="C84" s="385" t="s">
        <v>1529</v>
      </c>
      <c r="D84" s="386"/>
      <c r="E84" s="387">
        <v>180</v>
      </c>
      <c r="F84" s="387">
        <v>191</v>
      </c>
      <c r="G84" s="384"/>
      <c r="H84" s="484"/>
      <c r="I84" s="384"/>
      <c r="J84" s="485"/>
      <c r="K84" s="394"/>
      <c r="L84" s="394"/>
      <c r="M84" s="394"/>
      <c r="N84" s="384"/>
      <c r="O84" s="384"/>
      <c r="P84" s="394"/>
      <c r="Q84" s="394"/>
      <c r="R84" s="394"/>
      <c r="S84" s="395"/>
      <c r="T84" s="395"/>
      <c r="U84" s="395"/>
      <c r="V84" s="395"/>
      <c r="W84" s="395"/>
      <c r="X84" s="425"/>
    </row>
    <row r="85" spans="1:24" s="303" customFormat="1" ht="15">
      <c r="A85" s="383" t="s">
        <v>423</v>
      </c>
      <c r="B85" s="384" t="s">
        <v>418</v>
      </c>
      <c r="C85" s="385" t="s">
        <v>1530</v>
      </c>
      <c r="D85" s="386"/>
      <c r="E85" s="387">
        <v>1320</v>
      </c>
      <c r="F85" s="387">
        <v>1398</v>
      </c>
      <c r="G85" s="384"/>
      <c r="H85" s="484"/>
      <c r="I85" s="384"/>
      <c r="J85" s="485"/>
      <c r="K85" s="394"/>
      <c r="L85" s="394"/>
      <c r="M85" s="394"/>
      <c r="N85" s="384"/>
      <c r="O85" s="384"/>
      <c r="P85" s="394"/>
      <c r="Q85" s="394"/>
      <c r="R85" s="394"/>
      <c r="S85" s="395"/>
      <c r="T85" s="395"/>
      <c r="U85" s="395"/>
      <c r="V85" s="395"/>
      <c r="W85" s="395"/>
      <c r="X85" s="425"/>
    </row>
    <row r="86" spans="1:24" s="336" customFormat="1" ht="15">
      <c r="A86" s="351" t="s">
        <v>608</v>
      </c>
      <c r="B86" s="352" t="s">
        <v>418</v>
      </c>
      <c r="C86" s="353" t="s">
        <v>1531</v>
      </c>
      <c r="D86" s="354" t="s">
        <v>1848</v>
      </c>
      <c r="E86" s="355">
        <v>230</v>
      </c>
      <c r="F86" s="355">
        <v>244</v>
      </c>
      <c r="G86" s="352" t="s">
        <v>2080</v>
      </c>
      <c r="H86" s="357">
        <v>40.61391993644029</v>
      </c>
      <c r="I86" s="352">
        <v>43.8</v>
      </c>
      <c r="J86" s="496">
        <v>0.12</v>
      </c>
      <c r="K86" s="363" t="s">
        <v>2758</v>
      </c>
      <c r="L86" s="363" t="s">
        <v>2759</v>
      </c>
      <c r="M86" s="363"/>
      <c r="N86" s="352" t="s">
        <v>2081</v>
      </c>
      <c r="O86" s="352" t="s">
        <v>1715</v>
      </c>
      <c r="P86" s="363" t="s">
        <v>2757</v>
      </c>
      <c r="Q86" s="363" t="s">
        <v>2142</v>
      </c>
      <c r="R86" s="363">
        <f>1+0.024</f>
        <v>1.024</v>
      </c>
      <c r="S86" s="348">
        <v>10.537</v>
      </c>
      <c r="T86" s="348">
        <v>0.25947</v>
      </c>
      <c r="U86" s="348">
        <v>1.6965</v>
      </c>
      <c r="V86" s="348">
        <v>0.04177</v>
      </c>
      <c r="W86" s="348">
        <v>60.2986</v>
      </c>
      <c r="X86" s="416">
        <v>1.48482</v>
      </c>
    </row>
    <row r="87" spans="1:24" s="303" customFormat="1" ht="15">
      <c r="A87" s="383" t="s">
        <v>609</v>
      </c>
      <c r="B87" s="384" t="s">
        <v>418</v>
      </c>
      <c r="C87" s="385" t="s">
        <v>1532</v>
      </c>
      <c r="D87" s="386"/>
      <c r="E87" s="387">
        <v>250</v>
      </c>
      <c r="F87" s="387">
        <v>265</v>
      </c>
      <c r="G87" s="384"/>
      <c r="H87" s="484"/>
      <c r="I87" s="384"/>
      <c r="J87" s="485"/>
      <c r="K87" s="394"/>
      <c r="L87" s="394"/>
      <c r="M87" s="394"/>
      <c r="N87" s="384"/>
      <c r="O87" s="384"/>
      <c r="P87" s="394"/>
      <c r="Q87" s="394"/>
      <c r="R87" s="394"/>
      <c r="S87" s="395"/>
      <c r="T87" s="395"/>
      <c r="U87" s="395"/>
      <c r="V87" s="395"/>
      <c r="W87" s="395"/>
      <c r="X87" s="425"/>
    </row>
    <row r="88" spans="1:24" s="303" customFormat="1" ht="28.5">
      <c r="A88" s="383" t="s">
        <v>610</v>
      </c>
      <c r="B88" s="384" t="s">
        <v>418</v>
      </c>
      <c r="C88" s="385" t="s">
        <v>1533</v>
      </c>
      <c r="D88" s="386"/>
      <c r="E88" s="387">
        <v>120</v>
      </c>
      <c r="F88" s="387">
        <v>127</v>
      </c>
      <c r="G88" s="384"/>
      <c r="H88" s="484"/>
      <c r="I88" s="384"/>
      <c r="J88" s="485"/>
      <c r="K88" s="394"/>
      <c r="L88" s="394"/>
      <c r="M88" s="394"/>
      <c r="N88" s="384"/>
      <c r="O88" s="384"/>
      <c r="P88" s="394"/>
      <c r="Q88" s="394"/>
      <c r="R88" s="394"/>
      <c r="S88" s="395"/>
      <c r="T88" s="395"/>
      <c r="U88" s="395"/>
      <c r="V88" s="395"/>
      <c r="W88" s="395"/>
      <c r="X88" s="425"/>
    </row>
    <row r="89" spans="1:24" s="303" customFormat="1" ht="15">
      <c r="A89" s="383" t="s">
        <v>611</v>
      </c>
      <c r="B89" s="384" t="s">
        <v>418</v>
      </c>
      <c r="C89" s="385" t="s">
        <v>1534</v>
      </c>
      <c r="D89" s="386"/>
      <c r="E89" s="387">
        <v>30</v>
      </c>
      <c r="F89" s="387">
        <v>32</v>
      </c>
      <c r="G89" s="384"/>
      <c r="H89" s="484"/>
      <c r="I89" s="384"/>
      <c r="J89" s="485"/>
      <c r="K89" s="394"/>
      <c r="L89" s="394"/>
      <c r="M89" s="394"/>
      <c r="N89" s="384"/>
      <c r="O89" s="384"/>
      <c r="P89" s="394"/>
      <c r="Q89" s="394"/>
      <c r="R89" s="394"/>
      <c r="S89" s="395"/>
      <c r="T89" s="395"/>
      <c r="U89" s="395"/>
      <c r="V89" s="395"/>
      <c r="W89" s="395"/>
      <c r="X89" s="425"/>
    </row>
    <row r="90" spans="1:24" s="335" customFormat="1" ht="15">
      <c r="A90" s="488" t="s">
        <v>612</v>
      </c>
      <c r="B90" s="489" t="s">
        <v>418</v>
      </c>
      <c r="C90" s="490" t="s">
        <v>1535</v>
      </c>
      <c r="D90" s="491"/>
      <c r="E90" s="492">
        <v>680</v>
      </c>
      <c r="F90" s="492">
        <v>720</v>
      </c>
      <c r="G90" s="489"/>
      <c r="H90" s="493"/>
      <c r="I90" s="489"/>
      <c r="J90" s="494"/>
      <c r="K90" s="495"/>
      <c r="L90" s="495"/>
      <c r="M90" s="495"/>
      <c r="N90" s="489"/>
      <c r="O90" s="489"/>
      <c r="P90" s="495"/>
      <c r="Q90" s="495"/>
      <c r="R90" s="495"/>
      <c r="S90" s="611"/>
      <c r="T90" s="611"/>
      <c r="U90" s="611"/>
      <c r="V90" s="611"/>
      <c r="W90" s="611"/>
      <c r="X90" s="612"/>
    </row>
    <row r="91" spans="1:24" s="336" customFormat="1" ht="28.5">
      <c r="A91" s="351" t="s">
        <v>613</v>
      </c>
      <c r="B91" s="352" t="s">
        <v>418</v>
      </c>
      <c r="C91" s="353" t="s">
        <v>1536</v>
      </c>
      <c r="D91" s="354" t="s">
        <v>1819</v>
      </c>
      <c r="E91" s="355">
        <v>620</v>
      </c>
      <c r="F91" s="355">
        <v>657</v>
      </c>
      <c r="G91" s="352" t="s">
        <v>2760</v>
      </c>
      <c r="H91" s="357">
        <v>45.89929307885375</v>
      </c>
      <c r="I91" s="352">
        <v>49.5</v>
      </c>
      <c r="J91" s="496">
        <v>0.12</v>
      </c>
      <c r="K91" s="363" t="s">
        <v>2761</v>
      </c>
      <c r="L91" s="363" t="s">
        <v>2762</v>
      </c>
      <c r="M91" s="363"/>
      <c r="N91" s="352" t="s">
        <v>1751</v>
      </c>
      <c r="O91" s="352" t="s">
        <v>1758</v>
      </c>
      <c r="P91" s="363" t="s">
        <v>1726</v>
      </c>
      <c r="Q91" s="363" t="s">
        <v>1779</v>
      </c>
      <c r="R91" s="363">
        <f>1+0.055+0.005</f>
        <v>1.0599999999999998</v>
      </c>
      <c r="S91" s="348">
        <v>5.6477</v>
      </c>
      <c r="T91" s="348">
        <v>0.12304</v>
      </c>
      <c r="U91" s="348">
        <v>1.095</v>
      </c>
      <c r="V91" s="348">
        <v>0.02386</v>
      </c>
      <c r="W91" s="348">
        <v>31.4675</v>
      </c>
      <c r="X91" s="416">
        <v>0.68557</v>
      </c>
    </row>
    <row r="92" spans="1:24" s="303" customFormat="1" ht="28.5">
      <c r="A92" s="383" t="s">
        <v>424</v>
      </c>
      <c r="B92" s="384" t="s">
        <v>418</v>
      </c>
      <c r="C92" s="385" t="s">
        <v>1537</v>
      </c>
      <c r="D92" s="386"/>
      <c r="E92" s="387">
        <v>240</v>
      </c>
      <c r="F92" s="387">
        <v>254</v>
      </c>
      <c r="G92" s="384"/>
      <c r="H92" s="484"/>
      <c r="I92" s="384"/>
      <c r="J92" s="485"/>
      <c r="K92" s="394"/>
      <c r="L92" s="394"/>
      <c r="M92" s="394"/>
      <c r="N92" s="384"/>
      <c r="O92" s="384"/>
      <c r="P92" s="394"/>
      <c r="Q92" s="394"/>
      <c r="R92" s="394"/>
      <c r="S92" s="395"/>
      <c r="T92" s="395"/>
      <c r="U92" s="395"/>
      <c r="V92" s="395"/>
      <c r="W92" s="395"/>
      <c r="X92" s="425"/>
    </row>
    <row r="93" spans="1:24" s="337" customFormat="1" ht="28.5">
      <c r="A93" s="383" t="s">
        <v>425</v>
      </c>
      <c r="B93" s="498" t="s">
        <v>418</v>
      </c>
      <c r="C93" s="499" t="s">
        <v>1538</v>
      </c>
      <c r="D93" s="500"/>
      <c r="E93" s="501">
        <v>380</v>
      </c>
      <c r="F93" s="501">
        <v>402</v>
      </c>
      <c r="G93" s="498"/>
      <c r="H93" s="502"/>
      <c r="I93" s="498"/>
      <c r="J93" s="503"/>
      <c r="K93" s="504"/>
      <c r="L93" s="504"/>
      <c r="M93" s="504"/>
      <c r="N93" s="498"/>
      <c r="O93" s="498"/>
      <c r="P93" s="504"/>
      <c r="Q93" s="504"/>
      <c r="R93" s="394"/>
      <c r="S93" s="441"/>
      <c r="T93" s="441"/>
      <c r="U93" s="441"/>
      <c r="V93" s="441"/>
      <c r="W93" s="441"/>
      <c r="X93" s="442"/>
    </row>
    <row r="94" spans="1:24" s="303" customFormat="1" ht="28.5">
      <c r="A94" s="383" t="s">
        <v>426</v>
      </c>
      <c r="B94" s="384" t="s">
        <v>418</v>
      </c>
      <c r="C94" s="385" t="s">
        <v>1539</v>
      </c>
      <c r="D94" s="386"/>
      <c r="E94" s="387">
        <v>0</v>
      </c>
      <c r="F94" s="387">
        <v>0</v>
      </c>
      <c r="G94" s="384"/>
      <c r="H94" s="484"/>
      <c r="I94" s="384"/>
      <c r="J94" s="485"/>
      <c r="K94" s="394"/>
      <c r="L94" s="394"/>
      <c r="M94" s="394"/>
      <c r="N94" s="384"/>
      <c r="O94" s="384"/>
      <c r="P94" s="394"/>
      <c r="Q94" s="394"/>
      <c r="R94" s="394"/>
      <c r="S94" s="395"/>
      <c r="T94" s="395"/>
      <c r="U94" s="395"/>
      <c r="V94" s="395"/>
      <c r="W94" s="395"/>
      <c r="X94" s="425"/>
    </row>
    <row r="95" spans="1:24" s="303" customFormat="1" ht="57">
      <c r="A95" s="383" t="s">
        <v>614</v>
      </c>
      <c r="B95" s="384" t="s">
        <v>418</v>
      </c>
      <c r="C95" s="385" t="s">
        <v>1540</v>
      </c>
      <c r="D95" s="386"/>
      <c r="E95" s="387" t="s">
        <v>1689</v>
      </c>
      <c r="F95" s="387" t="s">
        <v>1689</v>
      </c>
      <c r="G95" s="384"/>
      <c r="H95" s="484"/>
      <c r="I95" s="384"/>
      <c r="J95" s="485"/>
      <c r="K95" s="394"/>
      <c r="L95" s="394"/>
      <c r="M95" s="394"/>
      <c r="N95" s="384"/>
      <c r="O95" s="384"/>
      <c r="P95" s="394"/>
      <c r="Q95" s="394"/>
      <c r="R95" s="394"/>
      <c r="S95" s="395"/>
      <c r="T95" s="395"/>
      <c r="U95" s="395"/>
      <c r="V95" s="395"/>
      <c r="W95" s="395"/>
      <c r="X95" s="425"/>
    </row>
    <row r="96" spans="1:24" s="303" customFormat="1" ht="42.75">
      <c r="A96" s="383" t="s">
        <v>615</v>
      </c>
      <c r="B96" s="384" t="s">
        <v>418</v>
      </c>
      <c r="C96" s="385" t="s">
        <v>1541</v>
      </c>
      <c r="D96" s="386"/>
      <c r="E96" s="387">
        <v>30</v>
      </c>
      <c r="F96" s="387">
        <v>32</v>
      </c>
      <c r="G96" s="384"/>
      <c r="H96" s="484"/>
      <c r="I96" s="384"/>
      <c r="J96" s="485"/>
      <c r="K96" s="394"/>
      <c r="L96" s="394"/>
      <c r="M96" s="394"/>
      <c r="N96" s="384"/>
      <c r="O96" s="384"/>
      <c r="P96" s="394"/>
      <c r="Q96" s="394"/>
      <c r="R96" s="394"/>
      <c r="S96" s="395"/>
      <c r="T96" s="395"/>
      <c r="U96" s="395"/>
      <c r="V96" s="395"/>
      <c r="W96" s="395"/>
      <c r="X96" s="425"/>
    </row>
    <row r="97" spans="1:24" s="335" customFormat="1" ht="15">
      <c r="A97" s="488" t="s">
        <v>616</v>
      </c>
      <c r="B97" s="489" t="s">
        <v>418</v>
      </c>
      <c r="C97" s="490" t="s">
        <v>1542</v>
      </c>
      <c r="D97" s="491"/>
      <c r="E97" s="492">
        <v>560</v>
      </c>
      <c r="F97" s="492">
        <v>593</v>
      </c>
      <c r="G97" s="489"/>
      <c r="H97" s="493"/>
      <c r="I97" s="489"/>
      <c r="J97" s="494"/>
      <c r="K97" s="495"/>
      <c r="L97" s="495"/>
      <c r="M97" s="495"/>
      <c r="N97" s="489"/>
      <c r="O97" s="489"/>
      <c r="P97" s="495"/>
      <c r="Q97" s="495"/>
      <c r="R97" s="495"/>
      <c r="S97" s="611"/>
      <c r="T97" s="611"/>
      <c r="U97" s="611"/>
      <c r="V97" s="611"/>
      <c r="W97" s="611"/>
      <c r="X97" s="612"/>
    </row>
    <row r="98" spans="1:24" s="336" customFormat="1" ht="15">
      <c r="A98" s="351" t="s">
        <v>617</v>
      </c>
      <c r="B98" s="352" t="s">
        <v>418</v>
      </c>
      <c r="C98" s="353" t="s">
        <v>1543</v>
      </c>
      <c r="D98" s="354" t="s">
        <v>1820</v>
      </c>
      <c r="E98" s="355">
        <v>560</v>
      </c>
      <c r="F98" s="355">
        <v>593</v>
      </c>
      <c r="G98" s="352" t="s">
        <v>1727</v>
      </c>
      <c r="H98" s="357">
        <v>31.712238854480784</v>
      </c>
      <c r="I98" s="352">
        <v>34.2</v>
      </c>
      <c r="J98" s="496">
        <v>0.12</v>
      </c>
      <c r="K98" s="363" t="s">
        <v>1739</v>
      </c>
      <c r="L98" s="363" t="s">
        <v>2756</v>
      </c>
      <c r="M98" s="363"/>
      <c r="N98" s="352" t="s">
        <v>1751</v>
      </c>
      <c r="O98" s="352" t="s">
        <v>1729</v>
      </c>
      <c r="P98" s="363" t="s">
        <v>1728</v>
      </c>
      <c r="Q98" s="363" t="s">
        <v>1778</v>
      </c>
      <c r="R98" s="363">
        <f>1+0.06</f>
        <v>1.06</v>
      </c>
      <c r="S98" s="348">
        <v>3.8619</v>
      </c>
      <c r="T98" s="348">
        <v>0.12179</v>
      </c>
      <c r="U98" s="348">
        <v>3.6892</v>
      </c>
      <c r="V98" s="348">
        <v>0.11625</v>
      </c>
      <c r="W98" s="348">
        <v>345.2013</v>
      </c>
      <c r="X98" s="416">
        <v>10.8862</v>
      </c>
    </row>
    <row r="99" spans="1:24" s="303" customFormat="1" ht="15">
      <c r="A99" s="383" t="s">
        <v>618</v>
      </c>
      <c r="B99" s="384" t="s">
        <v>418</v>
      </c>
      <c r="C99" s="385" t="s">
        <v>1544</v>
      </c>
      <c r="D99" s="386"/>
      <c r="E99" s="387">
        <v>0</v>
      </c>
      <c r="F99" s="387">
        <v>0</v>
      </c>
      <c r="G99" s="384"/>
      <c r="H99" s="484"/>
      <c r="I99" s="384"/>
      <c r="J99" s="485"/>
      <c r="K99" s="394"/>
      <c r="L99" s="394"/>
      <c r="M99" s="394"/>
      <c r="N99" s="384"/>
      <c r="O99" s="384"/>
      <c r="P99" s="394"/>
      <c r="Q99" s="394"/>
      <c r="R99" s="394"/>
      <c r="S99" s="395"/>
      <c r="T99" s="395"/>
      <c r="U99" s="395"/>
      <c r="V99" s="395"/>
      <c r="W99" s="395"/>
      <c r="X99" s="425"/>
    </row>
    <row r="100" spans="1:24" s="303" customFormat="1" ht="28.5">
      <c r="A100" s="383" t="s">
        <v>619</v>
      </c>
      <c r="B100" s="384" t="s">
        <v>418</v>
      </c>
      <c r="C100" s="385" t="s">
        <v>1545</v>
      </c>
      <c r="D100" s="386"/>
      <c r="E100" s="387">
        <v>0</v>
      </c>
      <c r="F100" s="387">
        <v>0</v>
      </c>
      <c r="G100" s="384"/>
      <c r="H100" s="484"/>
      <c r="I100" s="384"/>
      <c r="J100" s="485"/>
      <c r="K100" s="394"/>
      <c r="L100" s="394"/>
      <c r="M100" s="394"/>
      <c r="N100" s="384"/>
      <c r="O100" s="384"/>
      <c r="P100" s="394"/>
      <c r="Q100" s="394"/>
      <c r="R100" s="394"/>
      <c r="S100" s="395"/>
      <c r="T100" s="395"/>
      <c r="U100" s="395"/>
      <c r="V100" s="395"/>
      <c r="W100" s="395"/>
      <c r="X100" s="425"/>
    </row>
    <row r="101" spans="1:24" s="334" customFormat="1" ht="15.75" customHeight="1">
      <c r="A101" s="398" t="s">
        <v>620</v>
      </c>
      <c r="B101" s="399" t="s">
        <v>418</v>
      </c>
      <c r="C101" s="400" t="s">
        <v>1546</v>
      </c>
      <c r="D101" s="401" t="s">
        <v>1821</v>
      </c>
      <c r="E101" s="402">
        <v>890</v>
      </c>
      <c r="F101" s="402">
        <v>949</v>
      </c>
      <c r="G101" s="399"/>
      <c r="H101" s="486"/>
      <c r="I101" s="399"/>
      <c r="J101" s="487"/>
      <c r="K101" s="409"/>
      <c r="L101" s="409"/>
      <c r="M101" s="409"/>
      <c r="N101" s="399"/>
      <c r="O101" s="399"/>
      <c r="P101" s="409"/>
      <c r="Q101" s="409"/>
      <c r="R101" s="409"/>
      <c r="S101" s="410"/>
      <c r="T101" s="410"/>
      <c r="U101" s="410"/>
      <c r="V101" s="410"/>
      <c r="W101" s="410"/>
      <c r="X101" s="433"/>
    </row>
    <row r="102" spans="1:24" s="303" customFormat="1" ht="16.5" customHeight="1">
      <c r="A102" s="383" t="s">
        <v>621</v>
      </c>
      <c r="B102" s="384" t="s">
        <v>418</v>
      </c>
      <c r="C102" s="385" t="s">
        <v>1547</v>
      </c>
      <c r="D102" s="386"/>
      <c r="E102" s="387">
        <v>430</v>
      </c>
      <c r="F102" s="387">
        <v>459</v>
      </c>
      <c r="G102" s="384"/>
      <c r="H102" s="484"/>
      <c r="I102" s="384"/>
      <c r="J102" s="485"/>
      <c r="K102" s="394"/>
      <c r="L102" s="394"/>
      <c r="M102" s="394"/>
      <c r="N102" s="384"/>
      <c r="O102" s="384"/>
      <c r="P102" s="394"/>
      <c r="Q102" s="394"/>
      <c r="R102" s="394"/>
      <c r="S102" s="395"/>
      <c r="T102" s="395"/>
      <c r="U102" s="395"/>
      <c r="V102" s="395"/>
      <c r="W102" s="395"/>
      <c r="X102" s="425"/>
    </row>
    <row r="103" spans="1:24" s="336" customFormat="1" ht="15">
      <c r="A103" s="351" t="s">
        <v>622</v>
      </c>
      <c r="B103" s="352" t="s">
        <v>418</v>
      </c>
      <c r="C103" s="353" t="s">
        <v>1548</v>
      </c>
      <c r="D103" s="354" t="s">
        <v>1822</v>
      </c>
      <c r="E103" s="355">
        <v>190</v>
      </c>
      <c r="F103" s="355">
        <v>203</v>
      </c>
      <c r="G103" s="352" t="s">
        <v>1763</v>
      </c>
      <c r="H103" s="357">
        <v>67.25823902729569</v>
      </c>
      <c r="I103" s="352">
        <v>83.8</v>
      </c>
      <c r="J103" s="496">
        <v>0.12</v>
      </c>
      <c r="K103" s="363" t="s">
        <v>1725</v>
      </c>
      <c r="L103" s="363" t="s">
        <v>2763</v>
      </c>
      <c r="M103" s="363"/>
      <c r="N103" s="352" t="s">
        <v>2099</v>
      </c>
      <c r="O103" s="352" t="s">
        <v>1721</v>
      </c>
      <c r="P103" s="363" t="s">
        <v>2764</v>
      </c>
      <c r="Q103" s="363" t="s">
        <v>2143</v>
      </c>
      <c r="R103" s="363">
        <f>1+0.014</f>
        <v>1.014</v>
      </c>
      <c r="S103" s="348">
        <v>11.0765</v>
      </c>
      <c r="T103" s="348">
        <v>0.16468</v>
      </c>
      <c r="U103" s="348">
        <v>2.0751</v>
      </c>
      <c r="V103" s="348">
        <v>0.03085</v>
      </c>
      <c r="W103" s="348">
        <v>116.6429</v>
      </c>
      <c r="X103" s="416">
        <v>1.73421</v>
      </c>
    </row>
    <row r="104" spans="1:24" s="336" customFormat="1" ht="28.5">
      <c r="A104" s="351" t="s">
        <v>623</v>
      </c>
      <c r="B104" s="352" t="s">
        <v>418</v>
      </c>
      <c r="C104" s="353" t="s">
        <v>1549</v>
      </c>
      <c r="D104" s="354" t="s">
        <v>1823</v>
      </c>
      <c r="E104" s="355">
        <v>230</v>
      </c>
      <c r="F104" s="355">
        <v>245</v>
      </c>
      <c r="G104" s="352" t="s">
        <v>1762</v>
      </c>
      <c r="H104" s="357">
        <v>73.59881287354433</v>
      </c>
      <c r="I104" s="352">
        <v>91.7</v>
      </c>
      <c r="J104" s="496">
        <v>0.12</v>
      </c>
      <c r="K104" s="363" t="s">
        <v>2765</v>
      </c>
      <c r="L104" s="363" t="s">
        <v>2766</v>
      </c>
      <c r="M104" s="363"/>
      <c r="N104" s="352" t="s">
        <v>1751</v>
      </c>
      <c r="O104" s="352" t="s">
        <v>1723</v>
      </c>
      <c r="P104" s="363" t="s">
        <v>1761</v>
      </c>
      <c r="Q104" s="363" t="s">
        <v>2767</v>
      </c>
      <c r="R104" s="363">
        <f>1+0.016+0.043</f>
        <v>1.059</v>
      </c>
      <c r="S104" s="348">
        <v>8.7206</v>
      </c>
      <c r="T104" s="348">
        <v>0.11849</v>
      </c>
      <c r="U104" s="348">
        <v>2.8383</v>
      </c>
      <c r="V104" s="348">
        <v>0.03856</v>
      </c>
      <c r="W104" s="348">
        <v>170.3219</v>
      </c>
      <c r="X104" s="416">
        <v>2.31416</v>
      </c>
    </row>
    <row r="105" spans="1:24" s="303" customFormat="1" ht="15">
      <c r="A105" s="383" t="s">
        <v>624</v>
      </c>
      <c r="B105" s="384" t="s">
        <v>418</v>
      </c>
      <c r="C105" s="385" t="s">
        <v>1550</v>
      </c>
      <c r="D105" s="386"/>
      <c r="E105" s="387">
        <v>0</v>
      </c>
      <c r="F105" s="387">
        <v>0</v>
      </c>
      <c r="G105" s="384"/>
      <c r="H105" s="484"/>
      <c r="I105" s="384"/>
      <c r="J105" s="485"/>
      <c r="K105" s="394"/>
      <c r="L105" s="394"/>
      <c r="M105" s="394"/>
      <c r="N105" s="384"/>
      <c r="O105" s="384"/>
      <c r="P105" s="394"/>
      <c r="Q105" s="394"/>
      <c r="R105" s="394"/>
      <c r="S105" s="395"/>
      <c r="T105" s="395"/>
      <c r="U105" s="395"/>
      <c r="V105" s="395"/>
      <c r="W105" s="395"/>
      <c r="X105" s="425"/>
    </row>
    <row r="106" spans="1:24" s="335" customFormat="1" ht="42.75">
      <c r="A106" s="488" t="s">
        <v>625</v>
      </c>
      <c r="B106" s="489" t="s">
        <v>418</v>
      </c>
      <c r="C106" s="490" t="s">
        <v>1551</v>
      </c>
      <c r="D106" s="491" t="s">
        <v>1824</v>
      </c>
      <c r="E106" s="492">
        <v>260</v>
      </c>
      <c r="F106" s="492">
        <v>277</v>
      </c>
      <c r="G106" s="489" t="s">
        <v>1693</v>
      </c>
      <c r="H106" s="493"/>
      <c r="I106" s="489"/>
      <c r="J106" s="494"/>
      <c r="K106" s="495"/>
      <c r="L106" s="495"/>
      <c r="M106" s="495"/>
      <c r="N106" s="489"/>
      <c r="O106" s="489"/>
      <c r="P106" s="495"/>
      <c r="Q106" s="495"/>
      <c r="R106" s="495"/>
      <c r="S106" s="611"/>
      <c r="T106" s="611"/>
      <c r="U106" s="611"/>
      <c r="V106" s="611"/>
      <c r="W106" s="611"/>
      <c r="X106" s="612"/>
    </row>
    <row r="107" spans="1:24" s="336" customFormat="1" ht="28.5">
      <c r="A107" s="351" t="s">
        <v>626</v>
      </c>
      <c r="B107" s="352" t="s">
        <v>418</v>
      </c>
      <c r="C107" s="353" t="s">
        <v>1552</v>
      </c>
      <c r="D107" s="354" t="s">
        <v>2768</v>
      </c>
      <c r="E107" s="355">
        <v>110</v>
      </c>
      <c r="F107" s="355">
        <v>117</v>
      </c>
      <c r="G107" s="352" t="s">
        <v>1743</v>
      </c>
      <c r="H107" s="357">
        <v>31.100916017991743</v>
      </c>
      <c r="I107" s="352">
        <v>38.75</v>
      </c>
      <c r="J107" s="496">
        <v>0.12</v>
      </c>
      <c r="K107" s="363" t="s">
        <v>2769</v>
      </c>
      <c r="L107" s="363" t="s">
        <v>2770</v>
      </c>
      <c r="M107" s="363"/>
      <c r="N107" s="352" t="s">
        <v>1751</v>
      </c>
      <c r="O107" s="352" t="s">
        <v>1715</v>
      </c>
      <c r="P107" s="363" t="s">
        <v>1742</v>
      </c>
      <c r="Q107" s="363" t="s">
        <v>1777</v>
      </c>
      <c r="R107" s="363">
        <f>1+0.05</f>
        <v>1.05</v>
      </c>
      <c r="S107" s="348">
        <v>1.5942</v>
      </c>
      <c r="T107" s="348">
        <v>0.05126</v>
      </c>
      <c r="U107" s="348">
        <v>1.1544</v>
      </c>
      <c r="V107" s="348">
        <v>0.03712</v>
      </c>
      <c r="W107" s="348">
        <v>49.7417</v>
      </c>
      <c r="X107" s="416">
        <v>1.59941</v>
      </c>
    </row>
    <row r="108" spans="1:24" s="303" customFormat="1" ht="15">
      <c r="A108" s="383" t="s">
        <v>627</v>
      </c>
      <c r="B108" s="384" t="s">
        <v>418</v>
      </c>
      <c r="C108" s="385" t="s">
        <v>1553</v>
      </c>
      <c r="D108" s="386"/>
      <c r="E108" s="387">
        <v>40</v>
      </c>
      <c r="F108" s="387">
        <v>43</v>
      </c>
      <c r="G108" s="384"/>
      <c r="H108" s="484"/>
      <c r="I108" s="384"/>
      <c r="J108" s="485"/>
      <c r="K108" s="394"/>
      <c r="L108" s="394"/>
      <c r="M108" s="394"/>
      <c r="N108" s="384"/>
      <c r="O108" s="384"/>
      <c r="P108" s="394"/>
      <c r="Q108" s="394"/>
      <c r="R108" s="394"/>
      <c r="S108" s="395"/>
      <c r="T108" s="395"/>
      <c r="U108" s="395"/>
      <c r="V108" s="395"/>
      <c r="W108" s="395"/>
      <c r="X108" s="425"/>
    </row>
    <row r="109" spans="1:27" s="303" customFormat="1" ht="28.5">
      <c r="A109" s="383" t="s">
        <v>628</v>
      </c>
      <c r="B109" s="384" t="s">
        <v>418</v>
      </c>
      <c r="C109" s="385" t="s">
        <v>1554</v>
      </c>
      <c r="D109" s="386"/>
      <c r="E109" s="387">
        <v>10</v>
      </c>
      <c r="F109" s="387">
        <v>11</v>
      </c>
      <c r="G109" s="388"/>
      <c r="H109" s="389"/>
      <c r="I109" s="388"/>
      <c r="J109" s="391"/>
      <c r="K109" s="392"/>
      <c r="L109" s="392"/>
      <c r="M109" s="392"/>
      <c r="N109" s="388"/>
      <c r="O109" s="388"/>
      <c r="P109" s="392"/>
      <c r="Q109" s="394"/>
      <c r="R109" s="394"/>
      <c r="S109" s="395"/>
      <c r="T109" s="396"/>
      <c r="U109" s="396"/>
      <c r="V109" s="396"/>
      <c r="W109" s="396"/>
      <c r="X109" s="397"/>
      <c r="Y109" s="339"/>
      <c r="Z109" s="339"/>
      <c r="AA109" s="339"/>
    </row>
    <row r="110" spans="1:27" s="303" customFormat="1" ht="15">
      <c r="A110" s="383" t="s">
        <v>629</v>
      </c>
      <c r="B110" s="384" t="s">
        <v>418</v>
      </c>
      <c r="C110" s="385" t="s">
        <v>1555</v>
      </c>
      <c r="D110" s="386"/>
      <c r="E110" s="387">
        <v>90</v>
      </c>
      <c r="F110" s="387">
        <v>96</v>
      </c>
      <c r="G110" s="388"/>
      <c r="H110" s="389"/>
      <c r="I110" s="388"/>
      <c r="J110" s="391"/>
      <c r="K110" s="392"/>
      <c r="L110" s="392"/>
      <c r="M110" s="392"/>
      <c r="N110" s="388"/>
      <c r="O110" s="388"/>
      <c r="P110" s="392"/>
      <c r="Q110" s="394"/>
      <c r="R110" s="394"/>
      <c r="S110" s="395"/>
      <c r="T110" s="396"/>
      <c r="U110" s="396"/>
      <c r="V110" s="396"/>
      <c r="W110" s="396"/>
      <c r="X110" s="397"/>
      <c r="Y110" s="339"/>
      <c r="Z110" s="339"/>
      <c r="AA110" s="339"/>
    </row>
    <row r="111" spans="1:27" s="303" customFormat="1" ht="15">
      <c r="A111" s="383" t="s">
        <v>630</v>
      </c>
      <c r="B111" s="384" t="s">
        <v>418</v>
      </c>
      <c r="C111" s="385" t="s">
        <v>1556</v>
      </c>
      <c r="D111" s="386"/>
      <c r="E111" s="387">
        <v>0</v>
      </c>
      <c r="F111" s="387">
        <v>0</v>
      </c>
      <c r="G111" s="388"/>
      <c r="H111" s="389"/>
      <c r="I111" s="388"/>
      <c r="J111" s="391"/>
      <c r="K111" s="392"/>
      <c r="L111" s="392"/>
      <c r="M111" s="392"/>
      <c r="N111" s="388"/>
      <c r="O111" s="388"/>
      <c r="P111" s="392"/>
      <c r="Q111" s="394"/>
      <c r="R111" s="394"/>
      <c r="S111" s="395"/>
      <c r="T111" s="396"/>
      <c r="U111" s="396"/>
      <c r="V111" s="396"/>
      <c r="W111" s="396"/>
      <c r="X111" s="397"/>
      <c r="Y111" s="339"/>
      <c r="Z111" s="339"/>
      <c r="AA111" s="339"/>
    </row>
    <row r="112" spans="1:27" s="303" customFormat="1" ht="15">
      <c r="A112" s="383" t="s">
        <v>631</v>
      </c>
      <c r="B112" s="384" t="s">
        <v>418</v>
      </c>
      <c r="C112" s="385" t="s">
        <v>359</v>
      </c>
      <c r="D112" s="386"/>
      <c r="E112" s="387">
        <v>10</v>
      </c>
      <c r="F112" s="387">
        <v>11</v>
      </c>
      <c r="G112" s="388"/>
      <c r="H112" s="389"/>
      <c r="I112" s="388"/>
      <c r="J112" s="391"/>
      <c r="K112" s="392"/>
      <c r="L112" s="392"/>
      <c r="M112" s="392"/>
      <c r="N112" s="388"/>
      <c r="O112" s="388"/>
      <c r="P112" s="392"/>
      <c r="Q112" s="394"/>
      <c r="R112" s="394"/>
      <c r="S112" s="395"/>
      <c r="T112" s="396"/>
      <c r="U112" s="396"/>
      <c r="V112" s="396"/>
      <c r="W112" s="396"/>
      <c r="X112" s="397"/>
      <c r="Y112" s="339"/>
      <c r="Z112" s="339"/>
      <c r="AA112" s="339"/>
    </row>
    <row r="113" spans="1:28" s="329" customFormat="1" ht="21" customHeight="1">
      <c r="A113" s="351" t="s">
        <v>632</v>
      </c>
      <c r="B113" s="352" t="s">
        <v>418</v>
      </c>
      <c r="C113" s="353" t="s">
        <v>360</v>
      </c>
      <c r="D113" s="356" t="s">
        <v>2771</v>
      </c>
      <c r="E113" s="355">
        <v>10</v>
      </c>
      <c r="F113" s="508">
        <v>78.57</v>
      </c>
      <c r="G113" s="359" t="s">
        <v>2772</v>
      </c>
      <c r="H113" s="357">
        <v>76.24740701185073</v>
      </c>
      <c r="I113" s="509">
        <v>95</v>
      </c>
      <c r="J113" s="359">
        <v>0.12</v>
      </c>
      <c r="K113" s="510" t="s">
        <v>2773</v>
      </c>
      <c r="L113" s="363" t="s">
        <v>2774</v>
      </c>
      <c r="M113" s="363"/>
      <c r="N113" s="352" t="s">
        <v>2124</v>
      </c>
      <c r="O113" s="356" t="s">
        <v>2775</v>
      </c>
      <c r="P113" s="510" t="s">
        <v>2123</v>
      </c>
      <c r="Q113" s="363" t="s">
        <v>2141</v>
      </c>
      <c r="R113" s="363">
        <f>1+0.678+0.005</f>
        <v>1.6829999999999998</v>
      </c>
      <c r="S113" s="348">
        <v>3.158</v>
      </c>
      <c r="T113" s="349">
        <v>0.04134</v>
      </c>
      <c r="U113" s="349">
        <v>12.0693</v>
      </c>
      <c r="V113" s="349">
        <v>0.15829</v>
      </c>
      <c r="W113" s="349">
        <v>3735.1</v>
      </c>
      <c r="X113" s="350">
        <v>48.99361</v>
      </c>
      <c r="Y113" s="340"/>
      <c r="Z113" s="340"/>
      <c r="AA113" s="340"/>
      <c r="AB113" s="341"/>
    </row>
    <row r="114" spans="1:27" s="303" customFormat="1" ht="28.5">
      <c r="A114" s="383" t="s">
        <v>633</v>
      </c>
      <c r="B114" s="384" t="s">
        <v>418</v>
      </c>
      <c r="C114" s="385" t="s">
        <v>361</v>
      </c>
      <c r="D114" s="386"/>
      <c r="E114" s="387">
        <v>130</v>
      </c>
      <c r="F114" s="387">
        <v>139</v>
      </c>
      <c r="G114" s="388"/>
      <c r="H114" s="389"/>
      <c r="I114" s="388"/>
      <c r="J114" s="391"/>
      <c r="K114" s="392"/>
      <c r="L114" s="392"/>
      <c r="M114" s="392"/>
      <c r="N114" s="388"/>
      <c r="O114" s="388"/>
      <c r="P114" s="392"/>
      <c r="Q114" s="394"/>
      <c r="R114" s="394"/>
      <c r="S114" s="395"/>
      <c r="T114" s="396"/>
      <c r="U114" s="396"/>
      <c r="V114" s="396"/>
      <c r="W114" s="396"/>
      <c r="X114" s="397"/>
      <c r="Y114" s="339"/>
      <c r="Z114" s="339"/>
      <c r="AA114" s="339"/>
    </row>
    <row r="115" spans="1:27" s="303" customFormat="1" ht="28.5">
      <c r="A115" s="383" t="s">
        <v>634</v>
      </c>
      <c r="B115" s="384" t="s">
        <v>418</v>
      </c>
      <c r="C115" s="385" t="s">
        <v>362</v>
      </c>
      <c r="D115" s="386"/>
      <c r="E115" s="387">
        <v>0</v>
      </c>
      <c r="F115" s="387">
        <v>0</v>
      </c>
      <c r="G115" s="388"/>
      <c r="H115" s="389"/>
      <c r="I115" s="388"/>
      <c r="J115" s="391"/>
      <c r="K115" s="392"/>
      <c r="L115" s="392"/>
      <c r="M115" s="392"/>
      <c r="N115" s="388"/>
      <c r="O115" s="388"/>
      <c r="P115" s="392"/>
      <c r="Q115" s="394"/>
      <c r="R115" s="394"/>
      <c r="S115" s="395"/>
      <c r="T115" s="396"/>
      <c r="U115" s="396"/>
      <c r="V115" s="396"/>
      <c r="W115" s="396"/>
      <c r="X115" s="397"/>
      <c r="Y115" s="339"/>
      <c r="Z115" s="339"/>
      <c r="AA115" s="339"/>
    </row>
    <row r="116" spans="1:27" s="334" customFormat="1" ht="15.75">
      <c r="A116" s="398" t="s">
        <v>635</v>
      </c>
      <c r="B116" s="399" t="s">
        <v>418</v>
      </c>
      <c r="C116" s="400" t="s">
        <v>363</v>
      </c>
      <c r="D116" s="401" t="s">
        <v>1846</v>
      </c>
      <c r="E116" s="402">
        <v>2660</v>
      </c>
      <c r="F116" s="402">
        <v>3115</v>
      </c>
      <c r="G116" s="403"/>
      <c r="H116" s="404"/>
      <c r="I116" s="403"/>
      <c r="J116" s="406"/>
      <c r="K116" s="407"/>
      <c r="L116" s="407"/>
      <c r="M116" s="407"/>
      <c r="N116" s="403"/>
      <c r="O116" s="403"/>
      <c r="P116" s="407"/>
      <c r="Q116" s="409"/>
      <c r="R116" s="409"/>
      <c r="S116" s="410"/>
      <c r="T116" s="411"/>
      <c r="U116" s="411"/>
      <c r="V116" s="411"/>
      <c r="W116" s="411"/>
      <c r="X116" s="412"/>
      <c r="Y116" s="342"/>
      <c r="Z116" s="342"/>
      <c r="AA116" s="342"/>
    </row>
    <row r="117" spans="1:27" s="336" customFormat="1" ht="42.75">
      <c r="A117" s="351" t="s">
        <v>636</v>
      </c>
      <c r="B117" s="352" t="s">
        <v>418</v>
      </c>
      <c r="C117" s="353" t="s">
        <v>364</v>
      </c>
      <c r="D117" s="354" t="s">
        <v>1825</v>
      </c>
      <c r="E117" s="355">
        <v>430</v>
      </c>
      <c r="F117" s="355">
        <v>503</v>
      </c>
      <c r="G117" s="356"/>
      <c r="H117" s="358"/>
      <c r="I117" s="356"/>
      <c r="J117" s="359"/>
      <c r="K117" s="360"/>
      <c r="L117" s="360"/>
      <c r="M117" s="360"/>
      <c r="N117" s="356"/>
      <c r="O117" s="356"/>
      <c r="P117" s="360"/>
      <c r="Q117" s="363"/>
      <c r="R117" s="363"/>
      <c r="S117" s="348">
        <f aca="true" t="shared" si="2" ref="S117:X117">AVERAGE(S118:S119)</f>
        <v>0.72165</v>
      </c>
      <c r="T117" s="348">
        <f t="shared" si="2"/>
        <v>0.02519</v>
      </c>
      <c r="U117" s="348">
        <f t="shared" si="2"/>
        <v>0.34414999999999996</v>
      </c>
      <c r="V117" s="348">
        <f t="shared" si="2"/>
        <v>0.01201</v>
      </c>
      <c r="W117" s="348">
        <f t="shared" si="2"/>
        <v>83.108</v>
      </c>
      <c r="X117" s="348">
        <f t="shared" si="2"/>
        <v>2.9008</v>
      </c>
      <c r="Y117" s="343"/>
      <c r="Z117" s="343"/>
      <c r="AA117" s="343"/>
    </row>
    <row r="118" spans="1:27" s="336" customFormat="1" ht="15">
      <c r="A118" s="351" t="s">
        <v>2776</v>
      </c>
      <c r="B118" s="352"/>
      <c r="C118" s="353"/>
      <c r="D118" s="354"/>
      <c r="E118" s="355"/>
      <c r="F118" s="355"/>
      <c r="G118" s="356" t="s">
        <v>2777</v>
      </c>
      <c r="H118" s="357">
        <v>28.649327035040166</v>
      </c>
      <c r="I118" s="509">
        <f>(29.95+27.9)/2</f>
        <v>28.924999999999997</v>
      </c>
      <c r="J118" s="359">
        <v>0.12</v>
      </c>
      <c r="K118" s="360"/>
      <c r="L118" s="360" t="s">
        <v>2778</v>
      </c>
      <c r="M118" s="360"/>
      <c r="N118" s="356" t="s">
        <v>2124</v>
      </c>
      <c r="O118" s="356" t="s">
        <v>2779</v>
      </c>
      <c r="P118" s="360" t="s">
        <v>2780</v>
      </c>
      <c r="Q118" s="363"/>
      <c r="R118" s="363">
        <f>1+0.005</f>
        <v>1.005</v>
      </c>
      <c r="S118" s="348">
        <v>0.6534</v>
      </c>
      <c r="T118" s="349">
        <v>0.02281</v>
      </c>
      <c r="U118" s="349">
        <v>0.3806</v>
      </c>
      <c r="V118" s="349">
        <v>0.01328</v>
      </c>
      <c r="W118" s="349">
        <v>106.8485</v>
      </c>
      <c r="X118" s="350">
        <v>3.72944</v>
      </c>
      <c r="Y118" s="340"/>
      <c r="Z118" s="343"/>
      <c r="AA118" s="343"/>
    </row>
    <row r="119" spans="1:27" s="336" customFormat="1" ht="15">
      <c r="A119" s="351" t="s">
        <v>2781</v>
      </c>
      <c r="B119" s="352"/>
      <c r="C119" s="353"/>
      <c r="D119" s="354"/>
      <c r="E119" s="355"/>
      <c r="F119" s="355"/>
      <c r="G119" s="356" t="s">
        <v>2782</v>
      </c>
      <c r="H119" s="357">
        <v>28.649327035040166</v>
      </c>
      <c r="I119" s="509">
        <f>(29.95+27.9)/2</f>
        <v>28.924999999999997</v>
      </c>
      <c r="J119" s="359">
        <v>0.12</v>
      </c>
      <c r="K119" s="360"/>
      <c r="L119" s="360" t="s">
        <v>2778</v>
      </c>
      <c r="M119" s="360"/>
      <c r="N119" s="356" t="s">
        <v>2783</v>
      </c>
      <c r="O119" s="356" t="s">
        <v>2779</v>
      </c>
      <c r="P119" s="360" t="s">
        <v>2780</v>
      </c>
      <c r="Q119" s="363"/>
      <c r="R119" s="363">
        <f>R118</f>
        <v>1.005</v>
      </c>
      <c r="S119" s="348">
        <v>0.7899</v>
      </c>
      <c r="T119" s="349">
        <v>0.02757</v>
      </c>
      <c r="U119" s="349">
        <v>0.3077</v>
      </c>
      <c r="V119" s="349">
        <v>0.01074</v>
      </c>
      <c r="W119" s="349">
        <v>59.3675</v>
      </c>
      <c r="X119" s="350">
        <v>2.07216</v>
      </c>
      <c r="Y119" s="340"/>
      <c r="Z119" s="343"/>
      <c r="AA119" s="343"/>
    </row>
    <row r="120" spans="1:27" s="336" customFormat="1" ht="42.75">
      <c r="A120" s="351" t="s">
        <v>637</v>
      </c>
      <c r="B120" s="352" t="s">
        <v>418</v>
      </c>
      <c r="C120" s="353" t="s">
        <v>365</v>
      </c>
      <c r="D120" s="354" t="s">
        <v>1826</v>
      </c>
      <c r="E120" s="355">
        <v>390</v>
      </c>
      <c r="F120" s="355">
        <v>457</v>
      </c>
      <c r="G120" s="356" t="s">
        <v>2784</v>
      </c>
      <c r="H120" s="357">
        <v>24.02218421284382</v>
      </c>
      <c r="I120" s="509">
        <f>(20.9+23.9+27.96)/3</f>
        <v>24.25333333333333</v>
      </c>
      <c r="J120" s="359">
        <v>0.12</v>
      </c>
      <c r="K120" s="360"/>
      <c r="L120" s="360" t="s">
        <v>2785</v>
      </c>
      <c r="M120" s="360"/>
      <c r="N120" s="356" t="s">
        <v>2786</v>
      </c>
      <c r="O120" s="356" t="s">
        <v>2779</v>
      </c>
      <c r="P120" s="360" t="s">
        <v>2780</v>
      </c>
      <c r="Q120" s="363"/>
      <c r="R120" s="363">
        <v>1.005</v>
      </c>
      <c r="S120" s="348">
        <v>0.9756</v>
      </c>
      <c r="T120" s="349">
        <v>0.04062</v>
      </c>
      <c r="U120" s="349">
        <v>0.3367</v>
      </c>
      <c r="V120" s="349">
        <v>0.01402</v>
      </c>
      <c r="W120" s="349">
        <v>135.6675</v>
      </c>
      <c r="X120" s="350">
        <v>5.64811</v>
      </c>
      <c r="Y120" s="340"/>
      <c r="Z120" s="343"/>
      <c r="AA120" s="343"/>
    </row>
    <row r="121" spans="1:27" s="336" customFormat="1" ht="28.5">
      <c r="A121" s="351" t="s">
        <v>638</v>
      </c>
      <c r="B121" s="352" t="s">
        <v>418</v>
      </c>
      <c r="C121" s="353" t="s">
        <v>366</v>
      </c>
      <c r="D121" s="354" t="s">
        <v>1827</v>
      </c>
      <c r="E121" s="355">
        <v>290</v>
      </c>
      <c r="F121" s="355">
        <v>340</v>
      </c>
      <c r="G121" s="356"/>
      <c r="H121" s="358"/>
      <c r="I121" s="356"/>
      <c r="J121" s="359"/>
      <c r="K121" s="360"/>
      <c r="L121" s="360"/>
      <c r="M121" s="360"/>
      <c r="N121" s="356"/>
      <c r="O121" s="356"/>
      <c r="P121" s="360"/>
      <c r="Q121" s="363"/>
      <c r="R121" s="363"/>
      <c r="S121" s="348">
        <f aca="true" t="shared" si="3" ref="S121:X121">S122</f>
        <v>0.2211</v>
      </c>
      <c r="T121" s="348">
        <f t="shared" si="3"/>
        <v>0.00733</v>
      </c>
      <c r="U121" s="348">
        <f t="shared" si="3"/>
        <v>0.245</v>
      </c>
      <c r="V121" s="348">
        <f t="shared" si="3"/>
        <v>0.00812</v>
      </c>
      <c r="W121" s="348">
        <f t="shared" si="3"/>
        <v>61.2681</v>
      </c>
      <c r="X121" s="348">
        <f t="shared" si="3"/>
        <v>2.03143</v>
      </c>
      <c r="Y121" s="340"/>
      <c r="Z121" s="343"/>
      <c r="AA121" s="343"/>
    </row>
    <row r="122" spans="1:27" s="336" customFormat="1" ht="15">
      <c r="A122" s="351" t="s">
        <v>2787</v>
      </c>
      <c r="B122" s="352"/>
      <c r="C122" s="353"/>
      <c r="D122" s="354"/>
      <c r="E122" s="355"/>
      <c r="F122" s="355"/>
      <c r="G122" s="356" t="s">
        <v>2788</v>
      </c>
      <c r="H122" s="357">
        <v>30.159792851062164</v>
      </c>
      <c r="I122" s="509">
        <f>(28+32.9)/2</f>
        <v>30.45</v>
      </c>
      <c r="J122" s="359">
        <v>0.12</v>
      </c>
      <c r="K122" s="360"/>
      <c r="L122" s="360" t="s">
        <v>2789</v>
      </c>
      <c r="M122" s="360"/>
      <c r="N122" s="356" t="s">
        <v>1751</v>
      </c>
      <c r="O122" s="356" t="s">
        <v>2779</v>
      </c>
      <c r="P122" s="360" t="s">
        <v>2780</v>
      </c>
      <c r="Q122" s="363"/>
      <c r="R122" s="363">
        <f>R120</f>
        <v>1.005</v>
      </c>
      <c r="S122" s="348">
        <v>0.2211</v>
      </c>
      <c r="T122" s="349">
        <v>0.00733</v>
      </c>
      <c r="U122" s="349">
        <v>0.245</v>
      </c>
      <c r="V122" s="349">
        <v>0.00812</v>
      </c>
      <c r="W122" s="349">
        <v>61.2681</v>
      </c>
      <c r="X122" s="350">
        <v>2.03143</v>
      </c>
      <c r="Y122" s="340"/>
      <c r="Z122" s="343"/>
      <c r="AA122" s="343"/>
    </row>
    <row r="123" spans="1:27" s="336" customFormat="1" ht="15">
      <c r="A123" s="351" t="s">
        <v>2790</v>
      </c>
      <c r="B123" s="352"/>
      <c r="C123" s="353"/>
      <c r="D123" s="354"/>
      <c r="E123" s="355"/>
      <c r="F123" s="355"/>
      <c r="G123" s="356" t="s">
        <v>2791</v>
      </c>
      <c r="H123" s="357">
        <v>32.140731626172986</v>
      </c>
      <c r="I123" s="509">
        <f>(29+35.9)/2</f>
        <v>32.45</v>
      </c>
      <c r="J123" s="359">
        <v>0.12</v>
      </c>
      <c r="K123" s="360"/>
      <c r="L123" s="360" t="s">
        <v>2789</v>
      </c>
      <c r="M123" s="360"/>
      <c r="N123" s="356" t="s">
        <v>1756</v>
      </c>
      <c r="O123" s="356" t="s">
        <v>2779</v>
      </c>
      <c r="P123" s="360" t="s">
        <v>2780</v>
      </c>
      <c r="Q123" s="363"/>
      <c r="R123" s="363"/>
      <c r="S123" s="348"/>
      <c r="T123" s="349"/>
      <c r="U123" s="349"/>
      <c r="V123" s="349"/>
      <c r="W123" s="349"/>
      <c r="X123" s="350"/>
      <c r="Y123" s="340"/>
      <c r="Z123" s="343"/>
      <c r="AA123" s="343"/>
    </row>
    <row r="124" spans="1:27" s="337" customFormat="1" ht="28.5">
      <c r="A124" s="383" t="s">
        <v>639</v>
      </c>
      <c r="B124" s="498" t="s">
        <v>418</v>
      </c>
      <c r="C124" s="499" t="s">
        <v>367</v>
      </c>
      <c r="D124" s="500"/>
      <c r="E124" s="501">
        <v>80</v>
      </c>
      <c r="F124" s="501">
        <v>94</v>
      </c>
      <c r="G124" s="511"/>
      <c r="H124" s="512"/>
      <c r="I124" s="511"/>
      <c r="J124" s="513"/>
      <c r="K124" s="514"/>
      <c r="L124" s="514"/>
      <c r="M124" s="514"/>
      <c r="N124" s="511"/>
      <c r="O124" s="511"/>
      <c r="P124" s="514"/>
      <c r="Q124" s="504"/>
      <c r="R124" s="504"/>
      <c r="S124" s="441"/>
      <c r="T124" s="448"/>
      <c r="U124" s="448"/>
      <c r="V124" s="448"/>
      <c r="W124" s="448"/>
      <c r="X124" s="449"/>
      <c r="Y124" s="344"/>
      <c r="Z124" s="344"/>
      <c r="AA124" s="344"/>
    </row>
    <row r="125" spans="1:27" s="336" customFormat="1" ht="28.5">
      <c r="A125" s="351" t="s">
        <v>640</v>
      </c>
      <c r="B125" s="352" t="s">
        <v>418</v>
      </c>
      <c r="C125" s="353" t="s">
        <v>368</v>
      </c>
      <c r="D125" s="354" t="s">
        <v>2792</v>
      </c>
      <c r="E125" s="355">
        <v>130</v>
      </c>
      <c r="F125" s="355">
        <v>152</v>
      </c>
      <c r="G125" s="356" t="s">
        <v>2793</v>
      </c>
      <c r="H125" s="357">
        <v>82.88743069757429</v>
      </c>
      <c r="I125" s="509">
        <f>(76.62+90.75)/2</f>
        <v>83.685</v>
      </c>
      <c r="J125" s="359">
        <v>0.12</v>
      </c>
      <c r="K125" s="360"/>
      <c r="L125" s="360" t="s">
        <v>2794</v>
      </c>
      <c r="M125" s="360"/>
      <c r="N125" s="356" t="s">
        <v>2795</v>
      </c>
      <c r="O125" s="356" t="s">
        <v>2779</v>
      </c>
      <c r="P125" s="360" t="s">
        <v>2780</v>
      </c>
      <c r="Q125" s="363"/>
      <c r="R125" s="363">
        <f>R122</f>
        <v>1.005</v>
      </c>
      <c r="S125" s="348">
        <v>0.91</v>
      </c>
      <c r="T125" s="349">
        <v>0.01098</v>
      </c>
      <c r="U125" s="349">
        <v>0.4167</v>
      </c>
      <c r="V125" s="349">
        <v>0.00503</v>
      </c>
      <c r="W125" s="349">
        <v>280.6675</v>
      </c>
      <c r="X125" s="350">
        <v>3.38602</v>
      </c>
      <c r="Y125" s="343"/>
      <c r="Z125" s="343"/>
      <c r="AA125" s="343"/>
    </row>
    <row r="126" spans="1:27" s="346" customFormat="1" ht="28.5">
      <c r="A126" s="515" t="s">
        <v>641</v>
      </c>
      <c r="B126" s="516" t="s">
        <v>418</v>
      </c>
      <c r="C126" s="517" t="s">
        <v>369</v>
      </c>
      <c r="D126" s="518" t="s">
        <v>1828</v>
      </c>
      <c r="E126" s="519">
        <v>460</v>
      </c>
      <c r="F126" s="519">
        <v>539</v>
      </c>
      <c r="G126" s="520"/>
      <c r="H126" s="521"/>
      <c r="I126" s="520"/>
      <c r="J126" s="522"/>
      <c r="K126" s="523"/>
      <c r="L126" s="523"/>
      <c r="M126" s="523"/>
      <c r="N126" s="520"/>
      <c r="O126" s="520"/>
      <c r="P126" s="523"/>
      <c r="Q126" s="524"/>
      <c r="R126" s="524"/>
      <c r="S126" s="614"/>
      <c r="T126" s="615"/>
      <c r="U126" s="615"/>
      <c r="V126" s="615"/>
      <c r="W126" s="615"/>
      <c r="X126" s="616"/>
      <c r="Y126" s="345"/>
      <c r="Z126" s="345"/>
      <c r="AA126" s="345"/>
    </row>
    <row r="127" spans="1:27" s="336" customFormat="1" ht="42.75">
      <c r="A127" s="351" t="s">
        <v>642</v>
      </c>
      <c r="B127" s="352" t="s">
        <v>418</v>
      </c>
      <c r="C127" s="353" t="s">
        <v>370</v>
      </c>
      <c r="D127" s="354" t="s">
        <v>1829</v>
      </c>
      <c r="E127" s="355">
        <v>310</v>
      </c>
      <c r="F127" s="355">
        <v>363</v>
      </c>
      <c r="G127" s="356"/>
      <c r="H127" s="358"/>
      <c r="I127" s="358"/>
      <c r="J127" s="352"/>
      <c r="K127" s="360"/>
      <c r="L127" s="363"/>
      <c r="M127" s="360"/>
      <c r="N127" s="356"/>
      <c r="O127" s="356"/>
      <c r="P127" s="360"/>
      <c r="Q127" s="363"/>
      <c r="R127" s="363"/>
      <c r="S127" s="348">
        <f aca="true" t="shared" si="4" ref="S127:X127">AVERAGE(S128:S129)</f>
        <v>1.8472</v>
      </c>
      <c r="T127" s="348">
        <f t="shared" si="4"/>
        <v>0.022975</v>
      </c>
      <c r="U127" s="348">
        <f t="shared" si="4"/>
        <v>0.45255</v>
      </c>
      <c r="V127" s="348">
        <f t="shared" si="4"/>
        <v>0.00541</v>
      </c>
      <c r="W127" s="348">
        <f t="shared" si="4"/>
        <v>318.64815</v>
      </c>
      <c r="X127" s="348">
        <f t="shared" si="4"/>
        <v>3.79463</v>
      </c>
      <c r="Y127" s="343"/>
      <c r="Z127" s="343"/>
      <c r="AA127" s="343"/>
    </row>
    <row r="128" spans="1:27" s="336" customFormat="1" ht="15">
      <c r="A128" s="351" t="s">
        <v>2796</v>
      </c>
      <c r="B128" s="352"/>
      <c r="C128" s="353"/>
      <c r="D128" s="354"/>
      <c r="E128" s="355"/>
      <c r="F128" s="355"/>
      <c r="G128" s="356" t="s">
        <v>2797</v>
      </c>
      <c r="H128" s="357">
        <v>79.16326580036598</v>
      </c>
      <c r="I128" s="358">
        <f>(79.9+79.95)/2</f>
        <v>79.92500000000001</v>
      </c>
      <c r="J128" s="359">
        <v>0.12</v>
      </c>
      <c r="K128" s="360"/>
      <c r="L128" s="360" t="s">
        <v>2798</v>
      </c>
      <c r="M128" s="360"/>
      <c r="N128" s="356" t="s">
        <v>2799</v>
      </c>
      <c r="O128" s="356" t="s">
        <v>2800</v>
      </c>
      <c r="P128" s="525">
        <f>0.016/0.44</f>
        <v>0.03636363636363636</v>
      </c>
      <c r="Q128" s="363" t="s">
        <v>2801</v>
      </c>
      <c r="R128" s="363">
        <f>1+0.0364</f>
        <v>1.0364</v>
      </c>
      <c r="S128" s="348">
        <v>3.1414</v>
      </c>
      <c r="T128" s="349">
        <v>0.03968</v>
      </c>
      <c r="U128" s="349">
        <v>0.3521</v>
      </c>
      <c r="V128" s="349">
        <v>0.00455</v>
      </c>
      <c r="W128" s="349">
        <v>279.1465</v>
      </c>
      <c r="X128" s="350">
        <v>3.5263</v>
      </c>
      <c r="Y128" s="343"/>
      <c r="Z128" s="343"/>
      <c r="AA128" s="343"/>
    </row>
    <row r="129" spans="1:27" s="336" customFormat="1" ht="15">
      <c r="A129" s="351" t="s">
        <v>2802</v>
      </c>
      <c r="B129" s="352"/>
      <c r="C129" s="353"/>
      <c r="D129" s="354"/>
      <c r="E129" s="355"/>
      <c r="F129" s="355"/>
      <c r="G129" s="356" t="s">
        <v>2803</v>
      </c>
      <c r="H129" s="357">
        <v>88.15177549243128</v>
      </c>
      <c r="I129" s="358">
        <f>89</f>
        <v>89</v>
      </c>
      <c r="J129" s="359">
        <v>0.12</v>
      </c>
      <c r="K129" s="360"/>
      <c r="L129" s="360" t="s">
        <v>2804</v>
      </c>
      <c r="M129" s="360"/>
      <c r="N129" s="356" t="s">
        <v>1751</v>
      </c>
      <c r="O129" s="526" t="str">
        <f>O128</f>
        <v>One paper box of 16 grams for 440 g of strawberries</v>
      </c>
      <c r="P129" s="525">
        <f>P128</f>
        <v>0.03636363636363636</v>
      </c>
      <c r="Q129" s="363" t="str">
        <f>Q128</f>
        <v>kg paper per kg product</v>
      </c>
      <c r="R129" s="363">
        <f>R128</f>
        <v>1.0364</v>
      </c>
      <c r="S129" s="348">
        <v>0.553</v>
      </c>
      <c r="T129" s="349">
        <v>0.00627</v>
      </c>
      <c r="U129" s="349">
        <v>0.553</v>
      </c>
      <c r="V129" s="349">
        <v>0.00627</v>
      </c>
      <c r="W129" s="349">
        <v>358.1498</v>
      </c>
      <c r="X129" s="350">
        <v>4.06296</v>
      </c>
      <c r="Y129" s="343"/>
      <c r="Z129" s="343"/>
      <c r="AA129" s="343"/>
    </row>
    <row r="130" spans="1:27" s="336" customFormat="1" ht="15">
      <c r="A130" s="351" t="s">
        <v>643</v>
      </c>
      <c r="B130" s="352" t="s">
        <v>418</v>
      </c>
      <c r="C130" s="353" t="s">
        <v>371</v>
      </c>
      <c r="D130" s="354" t="s">
        <v>1830</v>
      </c>
      <c r="E130" s="355">
        <v>150</v>
      </c>
      <c r="F130" s="355">
        <v>176</v>
      </c>
      <c r="G130" s="356"/>
      <c r="H130" s="358"/>
      <c r="I130" s="352"/>
      <c r="J130" s="352"/>
      <c r="K130" s="360"/>
      <c r="L130" s="360"/>
      <c r="M130" s="360"/>
      <c r="N130" s="352"/>
      <c r="O130" s="356"/>
      <c r="P130" s="360"/>
      <c r="Q130" s="363"/>
      <c r="R130" s="363"/>
      <c r="S130" s="348">
        <f aca="true" t="shared" si="5" ref="S130:X130">AVERAGE(S131:S132)</f>
        <v>0.9548699999999999</v>
      </c>
      <c r="T130" s="348">
        <f t="shared" si="5"/>
        <v>0.014665000000000001</v>
      </c>
      <c r="U130" s="348">
        <f t="shared" si="5"/>
        <v>1.12875</v>
      </c>
      <c r="V130" s="348">
        <f t="shared" si="5"/>
        <v>0.01576</v>
      </c>
      <c r="W130" s="348">
        <f t="shared" si="5"/>
        <v>9.119250000000001</v>
      </c>
      <c r="X130" s="348">
        <f t="shared" si="5"/>
        <v>0.12731</v>
      </c>
      <c r="Y130" s="343"/>
      <c r="Z130" s="343"/>
      <c r="AA130" s="343"/>
    </row>
    <row r="131" spans="1:27" s="336" customFormat="1" ht="15">
      <c r="A131" s="351" t="s">
        <v>2805</v>
      </c>
      <c r="B131" s="352"/>
      <c r="C131" s="353"/>
      <c r="D131" s="354"/>
      <c r="E131" s="355"/>
      <c r="F131" s="355"/>
      <c r="G131" s="356" t="s">
        <v>2806</v>
      </c>
      <c r="H131" s="357">
        <v>71.63074610800709</v>
      </c>
      <c r="I131" s="358">
        <f>(71.9+55.9+69.8+61.8+102.2)/5</f>
        <v>72.32000000000001</v>
      </c>
      <c r="J131" s="359">
        <v>0.12</v>
      </c>
      <c r="K131" s="360"/>
      <c r="L131" s="360" t="s">
        <v>2807</v>
      </c>
      <c r="M131" s="360"/>
      <c r="N131" s="356" t="s">
        <v>1756</v>
      </c>
      <c r="O131" s="356" t="s">
        <v>2808</v>
      </c>
      <c r="P131" s="362">
        <f>0.018/0.5</f>
        <v>0.036</v>
      </c>
      <c r="Q131" s="363" t="s">
        <v>2809</v>
      </c>
      <c r="R131" s="363">
        <f>1+0.036</f>
        <v>1.036</v>
      </c>
      <c r="S131" s="348">
        <v>0.8885</v>
      </c>
      <c r="T131" s="349">
        <v>0.0124</v>
      </c>
      <c r="U131" s="349">
        <v>1.0451</v>
      </c>
      <c r="V131" s="349">
        <v>0.01459</v>
      </c>
      <c r="W131" s="349">
        <v>8.6976</v>
      </c>
      <c r="X131" s="350">
        <v>0.12142</v>
      </c>
      <c r="Y131" s="343"/>
      <c r="Z131" s="343"/>
      <c r="AA131" s="343"/>
    </row>
    <row r="132" spans="1:27" s="336" customFormat="1" ht="15">
      <c r="A132" s="351" t="s">
        <v>2810</v>
      </c>
      <c r="B132" s="352"/>
      <c r="C132" s="353"/>
      <c r="D132" s="354"/>
      <c r="E132" s="355"/>
      <c r="F132" s="355"/>
      <c r="G132" s="356" t="s">
        <v>2811</v>
      </c>
      <c r="H132" s="357">
        <v>71.63074610800709</v>
      </c>
      <c r="I132" s="358">
        <f>(71.9+55.9+69.8+61.8+102.2)/5</f>
        <v>72.32000000000001</v>
      </c>
      <c r="J132" s="359">
        <v>0.12</v>
      </c>
      <c r="K132" s="360"/>
      <c r="L132" s="360" t="s">
        <v>2807</v>
      </c>
      <c r="M132" s="360"/>
      <c r="N132" s="356" t="s">
        <v>2783</v>
      </c>
      <c r="O132" s="356" t="s">
        <v>2808</v>
      </c>
      <c r="P132" s="362">
        <f>0.018/0.5</f>
        <v>0.036</v>
      </c>
      <c r="Q132" s="363" t="s">
        <v>2809</v>
      </c>
      <c r="R132" s="363">
        <f>R131</f>
        <v>1.036</v>
      </c>
      <c r="S132" s="348">
        <v>1.02124</v>
      </c>
      <c r="T132" s="349">
        <v>0.01693</v>
      </c>
      <c r="U132" s="349">
        <v>1.2124</v>
      </c>
      <c r="V132" s="349">
        <v>0.01693</v>
      </c>
      <c r="W132" s="349">
        <v>9.5409</v>
      </c>
      <c r="X132" s="350">
        <v>0.1332</v>
      </c>
      <c r="Y132" s="343"/>
      <c r="Z132" s="343"/>
      <c r="AA132" s="343"/>
    </row>
    <row r="133" spans="1:27" s="303" customFormat="1" ht="42.75">
      <c r="A133" s="383" t="s">
        <v>644</v>
      </c>
      <c r="B133" s="384" t="s">
        <v>418</v>
      </c>
      <c r="C133" s="385" t="s">
        <v>372</v>
      </c>
      <c r="D133" s="386"/>
      <c r="E133" s="387">
        <v>220</v>
      </c>
      <c r="F133" s="387">
        <v>258</v>
      </c>
      <c r="G133" s="388"/>
      <c r="H133" s="389"/>
      <c r="I133" s="389"/>
      <c r="J133" s="391"/>
      <c r="K133" s="392"/>
      <c r="L133" s="392"/>
      <c r="M133" s="392"/>
      <c r="N133" s="388"/>
      <c r="O133" s="388"/>
      <c r="P133" s="392"/>
      <c r="Q133" s="394"/>
      <c r="R133" s="394"/>
      <c r="S133" s="395"/>
      <c r="T133" s="396"/>
      <c r="U133" s="396"/>
      <c r="V133" s="396"/>
      <c r="W133" s="396"/>
      <c r="X133" s="397"/>
      <c r="Y133" s="339"/>
      <c r="Z133" s="339"/>
      <c r="AA133" s="339"/>
    </row>
    <row r="134" spans="1:27" s="335" customFormat="1" ht="28.5">
      <c r="A134" s="488" t="s">
        <v>645</v>
      </c>
      <c r="B134" s="489" t="s">
        <v>418</v>
      </c>
      <c r="C134" s="490" t="s">
        <v>373</v>
      </c>
      <c r="D134" s="491" t="s">
        <v>1831</v>
      </c>
      <c r="E134" s="492">
        <v>520</v>
      </c>
      <c r="F134" s="492">
        <v>609</v>
      </c>
      <c r="G134" s="527"/>
      <c r="H134" s="528"/>
      <c r="I134" s="528"/>
      <c r="J134" s="529"/>
      <c r="K134" s="530"/>
      <c r="L134" s="530"/>
      <c r="M134" s="530"/>
      <c r="N134" s="527"/>
      <c r="O134" s="527"/>
      <c r="P134" s="530"/>
      <c r="Q134" s="495"/>
      <c r="R134" s="495"/>
      <c r="S134" s="611"/>
      <c r="T134" s="617"/>
      <c r="U134" s="617"/>
      <c r="V134" s="617"/>
      <c r="W134" s="617"/>
      <c r="X134" s="618"/>
      <c r="Y134" s="347"/>
      <c r="Z134" s="347"/>
      <c r="AA134" s="347"/>
    </row>
    <row r="135" spans="1:27" s="303" customFormat="1" ht="15">
      <c r="A135" s="383" t="s">
        <v>646</v>
      </c>
      <c r="B135" s="384" t="s">
        <v>418</v>
      </c>
      <c r="C135" s="385" t="s">
        <v>374</v>
      </c>
      <c r="D135" s="386"/>
      <c r="E135" s="387">
        <v>100</v>
      </c>
      <c r="F135" s="387">
        <v>117</v>
      </c>
      <c r="G135" s="388"/>
      <c r="H135" s="389"/>
      <c r="I135" s="389"/>
      <c r="J135" s="391"/>
      <c r="K135" s="392"/>
      <c r="L135" s="392"/>
      <c r="M135" s="392"/>
      <c r="N135" s="388"/>
      <c r="O135" s="388"/>
      <c r="P135" s="392"/>
      <c r="Q135" s="394"/>
      <c r="R135" s="394"/>
      <c r="S135" s="395"/>
      <c r="T135" s="396"/>
      <c r="U135" s="396"/>
      <c r="V135" s="396"/>
      <c r="W135" s="396"/>
      <c r="X135" s="397"/>
      <c r="Y135" s="339"/>
      <c r="Z135" s="339"/>
      <c r="AA135" s="339"/>
    </row>
    <row r="136" spans="1:27" s="336" customFormat="1" ht="42.75">
      <c r="A136" s="351" t="s">
        <v>647</v>
      </c>
      <c r="B136" s="352" t="s">
        <v>418</v>
      </c>
      <c r="C136" s="353" t="s">
        <v>375</v>
      </c>
      <c r="D136" s="354" t="s">
        <v>1832</v>
      </c>
      <c r="E136" s="355">
        <v>420</v>
      </c>
      <c r="F136" s="355">
        <v>492</v>
      </c>
      <c r="G136" s="356" t="s">
        <v>2812</v>
      </c>
      <c r="H136" s="357">
        <v>73.37892457704238</v>
      </c>
      <c r="I136" s="358">
        <f>(69.84+78.33)/2</f>
        <v>74.08500000000001</v>
      </c>
      <c r="J136" s="359">
        <v>0.12</v>
      </c>
      <c r="K136" s="360" t="s">
        <v>2813</v>
      </c>
      <c r="L136" s="363" t="s">
        <v>2814</v>
      </c>
      <c r="M136" s="363"/>
      <c r="N136" s="356" t="s">
        <v>2192</v>
      </c>
      <c r="O136" s="356" t="s">
        <v>2815</v>
      </c>
      <c r="P136" s="362">
        <f>0.005/0.165</f>
        <v>0.030303030303030304</v>
      </c>
      <c r="Q136" s="363" t="s">
        <v>2809</v>
      </c>
      <c r="R136" s="363">
        <f>1+0.03</f>
        <v>1.03</v>
      </c>
      <c r="S136" s="348">
        <v>3.5544</v>
      </c>
      <c r="T136" s="349">
        <v>0.04844</v>
      </c>
      <c r="U136" s="349">
        <v>3.7536</v>
      </c>
      <c r="V136" s="349">
        <v>0.05115</v>
      </c>
      <c r="W136" s="349">
        <v>496.8767</v>
      </c>
      <c r="X136" s="350">
        <v>6.77128</v>
      </c>
      <c r="Y136" s="343"/>
      <c r="Z136" s="343"/>
      <c r="AA136" s="343"/>
    </row>
    <row r="137" spans="1:27" s="303" customFormat="1" ht="42.75">
      <c r="A137" s="383" t="s">
        <v>648</v>
      </c>
      <c r="B137" s="384" t="s">
        <v>418</v>
      </c>
      <c r="C137" s="385" t="s">
        <v>376</v>
      </c>
      <c r="D137" s="386"/>
      <c r="E137" s="387">
        <v>70</v>
      </c>
      <c r="F137" s="387">
        <v>82</v>
      </c>
      <c r="G137" s="388"/>
      <c r="H137" s="389"/>
      <c r="I137" s="389"/>
      <c r="J137" s="391"/>
      <c r="K137" s="394"/>
      <c r="L137" s="392"/>
      <c r="M137" s="531"/>
      <c r="N137" s="388"/>
      <c r="O137" s="388"/>
      <c r="P137" s="392"/>
      <c r="Q137" s="394"/>
      <c r="R137" s="394"/>
      <c r="S137" s="395"/>
      <c r="T137" s="396"/>
      <c r="U137" s="396"/>
      <c r="V137" s="396"/>
      <c r="W137" s="396"/>
      <c r="X137" s="397"/>
      <c r="Y137" s="339"/>
      <c r="Z137" s="339"/>
      <c r="AA137" s="339"/>
    </row>
    <row r="138" spans="1:27" s="334" customFormat="1" ht="15.75">
      <c r="A138" s="398" t="s">
        <v>649</v>
      </c>
      <c r="B138" s="399" t="s">
        <v>418</v>
      </c>
      <c r="C138" s="400" t="s">
        <v>377</v>
      </c>
      <c r="D138" s="401" t="s">
        <v>1833</v>
      </c>
      <c r="E138" s="402">
        <v>3820</v>
      </c>
      <c r="F138" s="402">
        <v>4222</v>
      </c>
      <c r="G138" s="403"/>
      <c r="H138" s="404"/>
      <c r="I138" s="404"/>
      <c r="J138" s="406"/>
      <c r="K138" s="407"/>
      <c r="L138" s="407"/>
      <c r="M138" s="532"/>
      <c r="N138" s="403"/>
      <c r="O138" s="403"/>
      <c r="P138" s="407"/>
      <c r="Q138" s="409"/>
      <c r="R138" s="409"/>
      <c r="S138" s="410"/>
      <c r="T138" s="411"/>
      <c r="U138" s="411"/>
      <c r="V138" s="411"/>
      <c r="W138" s="411"/>
      <c r="X138" s="412"/>
      <c r="Y138" s="342"/>
      <c r="Z138" s="342"/>
      <c r="AA138" s="342"/>
    </row>
    <row r="139" spans="1:27" s="352" customFormat="1" ht="57">
      <c r="A139" s="351" t="s">
        <v>650</v>
      </c>
      <c r="B139" s="352" t="s">
        <v>418</v>
      </c>
      <c r="C139" s="353" t="s">
        <v>378</v>
      </c>
      <c r="D139" s="354" t="s">
        <v>1836</v>
      </c>
      <c r="E139" s="355">
        <v>490</v>
      </c>
      <c r="F139" s="355">
        <v>542</v>
      </c>
      <c r="G139" s="356" t="s">
        <v>2816</v>
      </c>
      <c r="H139" s="357">
        <v>16.805387612847014</v>
      </c>
      <c r="I139" s="358">
        <v>18.9</v>
      </c>
      <c r="J139" s="359">
        <v>0.12</v>
      </c>
      <c r="K139" s="360" t="s">
        <v>2817</v>
      </c>
      <c r="L139" s="360"/>
      <c r="M139" s="361"/>
      <c r="N139" s="356" t="s">
        <v>2818</v>
      </c>
      <c r="O139" s="356" t="s">
        <v>2819</v>
      </c>
      <c r="P139" s="362">
        <f>0.014/1</f>
        <v>0.014</v>
      </c>
      <c r="Q139" s="363" t="s">
        <v>2809</v>
      </c>
      <c r="R139" s="363">
        <f>1+0.014</f>
        <v>1.014</v>
      </c>
      <c r="S139" s="348">
        <v>1.0814</v>
      </c>
      <c r="T139" s="349">
        <v>0.06433</v>
      </c>
      <c r="U139" s="349">
        <v>0.81194</v>
      </c>
      <c r="V139" s="349">
        <v>0.04874</v>
      </c>
      <c r="W139" s="349">
        <v>13.6687</v>
      </c>
      <c r="X139" s="350">
        <v>0.81313</v>
      </c>
      <c r="Y139" s="356"/>
      <c r="Z139" s="356"/>
      <c r="AA139" s="356"/>
    </row>
    <row r="140" spans="1:27" s="352" customFormat="1" ht="28.5">
      <c r="A140" s="351" t="s">
        <v>651</v>
      </c>
      <c r="B140" s="352" t="s">
        <v>418</v>
      </c>
      <c r="C140" s="353" t="s">
        <v>379</v>
      </c>
      <c r="D140" s="354" t="s">
        <v>1834</v>
      </c>
      <c r="E140" s="355">
        <v>160</v>
      </c>
      <c r="F140" s="355">
        <v>177</v>
      </c>
      <c r="G140" s="356" t="s">
        <v>2820</v>
      </c>
      <c r="H140" s="357">
        <v>68.74648377181306</v>
      </c>
      <c r="I140" s="358">
        <f>(129.5+124.75)/2</f>
        <v>127.125</v>
      </c>
      <c r="J140" s="359">
        <v>0.12</v>
      </c>
      <c r="K140" s="360" t="s">
        <v>2821</v>
      </c>
      <c r="L140" s="360"/>
      <c r="M140" s="361"/>
      <c r="N140" s="356" t="s">
        <v>2124</v>
      </c>
      <c r="O140" s="356" t="s">
        <v>2779</v>
      </c>
      <c r="P140" s="360" t="s">
        <v>2780</v>
      </c>
      <c r="Q140" s="363"/>
      <c r="R140" s="363">
        <f>1+0.005</f>
        <v>1.005</v>
      </c>
      <c r="S140" s="348">
        <v>0.6038</v>
      </c>
      <c r="T140" s="349">
        <v>0.00534</v>
      </c>
      <c r="U140" s="349">
        <v>0.2126</v>
      </c>
      <c r="V140" s="349">
        <v>0.00188</v>
      </c>
      <c r="W140" s="349">
        <v>4.5885</v>
      </c>
      <c r="X140" s="350">
        <v>0.04059</v>
      </c>
      <c r="Y140" s="356"/>
      <c r="Z140" s="356"/>
      <c r="AA140" s="356"/>
    </row>
    <row r="141" spans="1:27" s="352" customFormat="1" ht="57">
      <c r="A141" s="351" t="s">
        <v>652</v>
      </c>
      <c r="B141" s="352" t="s">
        <v>418</v>
      </c>
      <c r="C141" s="353" t="s">
        <v>1662</v>
      </c>
      <c r="D141" s="354" t="s">
        <v>1837</v>
      </c>
      <c r="E141" s="355">
        <v>1220</v>
      </c>
      <c r="F141" s="355">
        <v>1348</v>
      </c>
      <c r="G141" s="356" t="s">
        <v>2822</v>
      </c>
      <c r="H141" s="358"/>
      <c r="I141" s="358"/>
      <c r="K141" s="360"/>
      <c r="L141" s="360"/>
      <c r="M141" s="361"/>
      <c r="N141" s="356"/>
      <c r="O141" s="356"/>
      <c r="P141" s="360"/>
      <c r="Q141" s="363"/>
      <c r="R141" s="363"/>
      <c r="S141" s="348">
        <f aca="true" t="shared" si="6" ref="S141:X141">AVERAGE(S142:S143)</f>
        <v>0.9451499999999999</v>
      </c>
      <c r="T141" s="348">
        <f t="shared" si="6"/>
        <v>0.024739999999999998</v>
      </c>
      <c r="U141" s="348">
        <f t="shared" si="6"/>
        <v>0.07085</v>
      </c>
      <c r="V141" s="348">
        <f t="shared" si="6"/>
        <v>0.00166</v>
      </c>
      <c r="W141" s="348">
        <f t="shared" si="6"/>
        <v>25.017200000000003</v>
      </c>
      <c r="X141" s="348">
        <f t="shared" si="6"/>
        <v>0.570585</v>
      </c>
      <c r="Y141" s="348"/>
      <c r="Z141" s="356"/>
      <c r="AA141" s="356"/>
    </row>
    <row r="142" spans="1:27" s="352" customFormat="1" ht="15">
      <c r="A142" s="351" t="s">
        <v>2823</v>
      </c>
      <c r="C142" s="353" t="s">
        <v>2824</v>
      </c>
      <c r="D142" s="354" t="s">
        <v>2825</v>
      </c>
      <c r="E142" s="355"/>
      <c r="F142" s="355"/>
      <c r="G142" s="356" t="s">
        <v>2826</v>
      </c>
      <c r="H142" s="357">
        <v>57.66293051286396</v>
      </c>
      <c r="I142" s="358">
        <f>(67.9+61.8)/2</f>
        <v>64.85</v>
      </c>
      <c r="J142" s="359">
        <v>0.12</v>
      </c>
      <c r="K142" s="360" t="s">
        <v>2827</v>
      </c>
      <c r="L142" s="360"/>
      <c r="M142" s="361"/>
      <c r="N142" s="356" t="s">
        <v>2124</v>
      </c>
      <c r="O142" s="356" t="s">
        <v>2779</v>
      </c>
      <c r="P142" s="360" t="s">
        <v>2780</v>
      </c>
      <c r="Q142" s="363"/>
      <c r="R142" s="363">
        <f>R140</f>
        <v>1.005</v>
      </c>
      <c r="S142" s="348">
        <v>0.7487</v>
      </c>
      <c r="T142" s="349">
        <v>0.0128</v>
      </c>
      <c r="U142" s="349">
        <v>0.0836</v>
      </c>
      <c r="V142" s="349">
        <v>0.00145</v>
      </c>
      <c r="W142" s="349">
        <v>31.5485</v>
      </c>
      <c r="X142" s="350">
        <v>0.54715</v>
      </c>
      <c r="Y142" s="356"/>
      <c r="Z142" s="356"/>
      <c r="AA142" s="356"/>
    </row>
    <row r="143" spans="1:27" s="352" customFormat="1" ht="15">
      <c r="A143" s="351" t="s">
        <v>2828</v>
      </c>
      <c r="C143" s="353" t="s">
        <v>2824</v>
      </c>
      <c r="D143" s="354" t="s">
        <v>2825</v>
      </c>
      <c r="E143" s="355"/>
      <c r="F143" s="355"/>
      <c r="G143" s="356" t="s">
        <v>2829</v>
      </c>
      <c r="H143" s="357">
        <v>31.121088171938915</v>
      </c>
      <c r="I143" s="358">
        <f>(45+30+30)/3</f>
        <v>35</v>
      </c>
      <c r="J143" s="359">
        <v>0.12</v>
      </c>
      <c r="K143" s="360" t="s">
        <v>2827</v>
      </c>
      <c r="L143" s="360"/>
      <c r="M143" s="361"/>
      <c r="N143" s="356" t="s">
        <v>2830</v>
      </c>
      <c r="O143" s="356" t="s">
        <v>2779</v>
      </c>
      <c r="P143" s="360" t="s">
        <v>2780</v>
      </c>
      <c r="Q143" s="363"/>
      <c r="R143" s="363">
        <f>R142</f>
        <v>1.005</v>
      </c>
      <c r="S143" s="348">
        <v>1.1416</v>
      </c>
      <c r="T143" s="349">
        <v>0.03668</v>
      </c>
      <c r="U143" s="349">
        <v>0.0581</v>
      </c>
      <c r="V143" s="349">
        <v>0.00187</v>
      </c>
      <c r="W143" s="349">
        <v>18.4859</v>
      </c>
      <c r="X143" s="350">
        <v>0.59402</v>
      </c>
      <c r="Y143" s="356"/>
      <c r="Z143" s="356"/>
      <c r="AA143" s="356"/>
    </row>
    <row r="144" spans="1:27" s="365" customFormat="1" ht="15">
      <c r="A144" s="364" t="s">
        <v>2831</v>
      </c>
      <c r="C144" s="366" t="s">
        <v>2824</v>
      </c>
      <c r="D144" s="367" t="s">
        <v>2825</v>
      </c>
      <c r="E144" s="368"/>
      <c r="F144" s="368"/>
      <c r="G144" s="369" t="s">
        <v>2832</v>
      </c>
      <c r="H144" s="370">
        <v>21.266076917491592</v>
      </c>
      <c r="I144" s="371">
        <f>(23.95+24.9+22.9)/3</f>
        <v>23.916666666666668</v>
      </c>
      <c r="J144" s="372">
        <v>0.12</v>
      </c>
      <c r="K144" s="373" t="s">
        <v>2827</v>
      </c>
      <c r="L144" s="373"/>
      <c r="M144" s="374"/>
      <c r="N144" s="369" t="s">
        <v>1751</v>
      </c>
      <c r="O144" s="369" t="s">
        <v>2779</v>
      </c>
      <c r="P144" s="373" t="s">
        <v>2780</v>
      </c>
      <c r="Q144" s="375"/>
      <c r="R144" s="375"/>
      <c r="S144" s="376"/>
      <c r="T144" s="377"/>
      <c r="U144" s="377"/>
      <c r="V144" s="377"/>
      <c r="W144" s="377"/>
      <c r="X144" s="378"/>
      <c r="Y144" s="369"/>
      <c r="Z144" s="369"/>
      <c r="AA144" s="369"/>
    </row>
    <row r="145" spans="1:27" s="352" customFormat="1" ht="57">
      <c r="A145" s="351">
        <v>1174</v>
      </c>
      <c r="B145" s="352" t="s">
        <v>418</v>
      </c>
      <c r="C145" s="353" t="s">
        <v>1663</v>
      </c>
      <c r="D145" s="354" t="s">
        <v>1838</v>
      </c>
      <c r="E145" s="355">
        <v>490</v>
      </c>
      <c r="F145" s="355">
        <v>542</v>
      </c>
      <c r="G145" s="356" t="s">
        <v>2833</v>
      </c>
      <c r="H145" s="357">
        <v>20.828899726504826</v>
      </c>
      <c r="I145" s="358">
        <f>(23.95+22.9)/2</f>
        <v>23.424999999999997</v>
      </c>
      <c r="J145" s="359">
        <v>0.12</v>
      </c>
      <c r="K145" s="360" t="s">
        <v>2834</v>
      </c>
      <c r="L145" s="360"/>
      <c r="M145" s="361"/>
      <c r="N145" s="356" t="s">
        <v>1751</v>
      </c>
      <c r="O145" s="356" t="s">
        <v>2779</v>
      </c>
      <c r="P145" s="360" t="s">
        <v>2780</v>
      </c>
      <c r="Q145" s="363"/>
      <c r="R145" s="363">
        <f>R143</f>
        <v>1.005</v>
      </c>
      <c r="S145" s="348">
        <v>0.2263</v>
      </c>
      <c r="T145" s="349">
        <v>0.01086</v>
      </c>
      <c r="U145" s="349">
        <v>0.185</v>
      </c>
      <c r="V145" s="349">
        <v>0.00888</v>
      </c>
      <c r="W145" s="349">
        <v>4.2481</v>
      </c>
      <c r="X145" s="350">
        <v>0.20394</v>
      </c>
      <c r="Y145" s="356"/>
      <c r="Z145" s="356"/>
      <c r="AA145" s="356"/>
    </row>
    <row r="146" spans="1:27" s="303" customFormat="1" ht="15">
      <c r="A146" s="383" t="s">
        <v>653</v>
      </c>
      <c r="B146" s="384" t="s">
        <v>418</v>
      </c>
      <c r="C146" s="385" t="s">
        <v>1664</v>
      </c>
      <c r="D146" s="386"/>
      <c r="E146" s="387">
        <v>190</v>
      </c>
      <c r="F146" s="387">
        <v>210</v>
      </c>
      <c r="G146" s="388"/>
      <c r="H146" s="389"/>
      <c r="I146" s="389"/>
      <c r="J146" s="391"/>
      <c r="K146" s="392"/>
      <c r="L146" s="392"/>
      <c r="M146" s="533"/>
      <c r="N146" s="388"/>
      <c r="O146" s="388"/>
      <c r="P146" s="392"/>
      <c r="Q146" s="394"/>
      <c r="R146" s="394"/>
      <c r="S146" s="395"/>
      <c r="T146" s="396"/>
      <c r="U146" s="396"/>
      <c r="V146" s="396"/>
      <c r="W146" s="396"/>
      <c r="X146" s="397"/>
      <c r="Y146" s="339"/>
      <c r="Z146" s="339"/>
      <c r="AA146" s="339"/>
    </row>
    <row r="147" spans="1:27" s="303" customFormat="1" ht="15">
      <c r="A147" s="383" t="s">
        <v>654</v>
      </c>
      <c r="B147" s="384" t="s">
        <v>418</v>
      </c>
      <c r="C147" s="385" t="s">
        <v>1665</v>
      </c>
      <c r="D147" s="386"/>
      <c r="E147" s="387">
        <v>200</v>
      </c>
      <c r="F147" s="387">
        <v>221</v>
      </c>
      <c r="G147" s="388"/>
      <c r="H147" s="389"/>
      <c r="I147" s="389"/>
      <c r="J147" s="391"/>
      <c r="K147" s="392"/>
      <c r="L147" s="392"/>
      <c r="M147" s="392"/>
      <c r="N147" s="388"/>
      <c r="O147" s="388"/>
      <c r="P147" s="392"/>
      <c r="Q147" s="394"/>
      <c r="R147" s="394"/>
      <c r="S147" s="395"/>
      <c r="T147" s="396"/>
      <c r="U147" s="396"/>
      <c r="V147" s="396"/>
      <c r="W147" s="396"/>
      <c r="X147" s="397"/>
      <c r="Y147" s="339"/>
      <c r="Z147" s="339"/>
      <c r="AA147" s="339"/>
    </row>
    <row r="148" spans="1:27" s="303" customFormat="1" ht="15">
      <c r="A148" s="383" t="s">
        <v>655</v>
      </c>
      <c r="B148" s="384" t="s">
        <v>418</v>
      </c>
      <c r="C148" s="385" t="s">
        <v>1666</v>
      </c>
      <c r="D148" s="386"/>
      <c r="E148" s="387">
        <v>90</v>
      </c>
      <c r="F148" s="387">
        <v>99</v>
      </c>
      <c r="G148" s="388"/>
      <c r="H148" s="389"/>
      <c r="I148" s="389"/>
      <c r="J148" s="391"/>
      <c r="K148" s="392"/>
      <c r="L148" s="392"/>
      <c r="M148" s="392"/>
      <c r="N148" s="388"/>
      <c r="O148" s="388"/>
      <c r="P148" s="392"/>
      <c r="Q148" s="394"/>
      <c r="R148" s="394"/>
      <c r="S148" s="395"/>
      <c r="T148" s="396"/>
      <c r="U148" s="396"/>
      <c r="V148" s="396"/>
      <c r="W148" s="396"/>
      <c r="X148" s="397"/>
      <c r="Y148" s="339"/>
      <c r="Z148" s="339"/>
      <c r="AA148" s="339"/>
    </row>
    <row r="149" spans="1:27" s="303" customFormat="1" ht="15">
      <c r="A149" s="383" t="s">
        <v>656</v>
      </c>
      <c r="B149" s="384" t="s">
        <v>418</v>
      </c>
      <c r="C149" s="385" t="s">
        <v>1667</v>
      </c>
      <c r="D149" s="386"/>
      <c r="E149" s="387" t="s">
        <v>1689</v>
      </c>
      <c r="F149" s="387" t="s">
        <v>1689</v>
      </c>
      <c r="G149" s="388"/>
      <c r="H149" s="389"/>
      <c r="I149" s="389"/>
      <c r="J149" s="391"/>
      <c r="K149" s="392"/>
      <c r="L149" s="392"/>
      <c r="M149" s="392"/>
      <c r="N149" s="388"/>
      <c r="O149" s="388"/>
      <c r="P149" s="392"/>
      <c r="Q149" s="394"/>
      <c r="R149" s="394"/>
      <c r="S149" s="395"/>
      <c r="T149" s="396"/>
      <c r="U149" s="396"/>
      <c r="V149" s="396"/>
      <c r="W149" s="396"/>
      <c r="X149" s="397"/>
      <c r="Y149" s="339"/>
      <c r="Z149" s="339"/>
      <c r="AA149" s="339"/>
    </row>
    <row r="150" spans="1:27" s="352" customFormat="1" ht="42.75">
      <c r="A150" s="351" t="s">
        <v>657</v>
      </c>
      <c r="B150" s="352" t="s">
        <v>418</v>
      </c>
      <c r="C150" s="353" t="s">
        <v>1668</v>
      </c>
      <c r="D150" s="354" t="s">
        <v>1839</v>
      </c>
      <c r="E150" s="355">
        <v>510</v>
      </c>
      <c r="F150" s="355">
        <v>564</v>
      </c>
      <c r="G150" s="356" t="s">
        <v>2835</v>
      </c>
      <c r="H150" s="357">
        <v>50.23832804898711</v>
      </c>
      <c r="I150" s="358">
        <v>56.5</v>
      </c>
      <c r="J150" s="359">
        <v>0.12</v>
      </c>
      <c r="K150" s="360" t="s">
        <v>2836</v>
      </c>
      <c r="L150" s="361">
        <f>0.93*2.34</f>
        <v>2.1762</v>
      </c>
      <c r="M150" s="360" t="s">
        <v>2837</v>
      </c>
      <c r="N150" s="356" t="s">
        <v>2081</v>
      </c>
      <c r="O150" s="356" t="s">
        <v>2838</v>
      </c>
      <c r="P150" s="379">
        <f>0.056/0.15</f>
        <v>0.37333333333333335</v>
      </c>
      <c r="Q150" s="380" t="s">
        <v>2839</v>
      </c>
      <c r="R150" s="363">
        <f>1+0.37</f>
        <v>1.37</v>
      </c>
      <c r="S150" s="348">
        <v>9.5981</v>
      </c>
      <c r="T150" s="349">
        <v>0.19104</v>
      </c>
      <c r="U150" s="349">
        <v>2.4887</v>
      </c>
      <c r="V150" s="349">
        <v>0.04954</v>
      </c>
      <c r="W150" s="349">
        <v>110.0221</v>
      </c>
      <c r="X150" s="350">
        <v>2.18993</v>
      </c>
      <c r="Y150" s="356"/>
      <c r="Z150" s="356"/>
      <c r="AA150" s="356"/>
    </row>
    <row r="151" spans="1:27" s="303" customFormat="1" ht="42.75">
      <c r="A151" s="383" t="s">
        <v>658</v>
      </c>
      <c r="B151" s="384" t="s">
        <v>418</v>
      </c>
      <c r="C151" s="385" t="s">
        <v>1669</v>
      </c>
      <c r="D151" s="386"/>
      <c r="E151" s="387">
        <v>500</v>
      </c>
      <c r="F151" s="387">
        <v>553</v>
      </c>
      <c r="G151" s="388"/>
      <c r="H151" s="389"/>
      <c r="I151" s="389"/>
      <c r="J151" s="391"/>
      <c r="K151" s="533"/>
      <c r="L151" s="392"/>
      <c r="M151" s="392"/>
      <c r="N151" s="388"/>
      <c r="O151" s="388"/>
      <c r="P151" s="393"/>
      <c r="Q151" s="534"/>
      <c r="R151" s="394"/>
      <c r="S151" s="395"/>
      <c r="T151" s="396"/>
      <c r="U151" s="396"/>
      <c r="V151" s="396"/>
      <c r="W151" s="396"/>
      <c r="X151" s="397"/>
      <c r="Y151" s="339"/>
      <c r="Z151" s="339"/>
      <c r="AA151" s="339"/>
    </row>
    <row r="152" spans="1:27" s="303" customFormat="1" ht="15">
      <c r="A152" s="383" t="s">
        <v>659</v>
      </c>
      <c r="B152" s="384" t="s">
        <v>418</v>
      </c>
      <c r="C152" s="385" t="s">
        <v>1670</v>
      </c>
      <c r="D152" s="386"/>
      <c r="E152" s="387">
        <v>0</v>
      </c>
      <c r="F152" s="387">
        <v>0</v>
      </c>
      <c r="G152" s="388"/>
      <c r="H152" s="389"/>
      <c r="I152" s="389"/>
      <c r="J152" s="391"/>
      <c r="K152" s="392"/>
      <c r="L152" s="392"/>
      <c r="M152" s="392"/>
      <c r="N152" s="388"/>
      <c r="O152" s="388"/>
      <c r="P152" s="393"/>
      <c r="Q152" s="534"/>
      <c r="R152" s="394"/>
      <c r="S152" s="395"/>
      <c r="T152" s="396"/>
      <c r="U152" s="396"/>
      <c r="V152" s="396"/>
      <c r="W152" s="396"/>
      <c r="X152" s="397"/>
      <c r="Y152" s="339"/>
      <c r="Z152" s="339"/>
      <c r="AA152" s="339"/>
    </row>
    <row r="153" spans="1:27" s="352" customFormat="1" ht="15">
      <c r="A153" s="351" t="s">
        <v>660</v>
      </c>
      <c r="B153" s="352" t="s">
        <v>418</v>
      </c>
      <c r="C153" s="353" t="s">
        <v>1671</v>
      </c>
      <c r="D153" s="354" t="s">
        <v>1835</v>
      </c>
      <c r="E153" s="355">
        <v>310</v>
      </c>
      <c r="F153" s="355">
        <v>343</v>
      </c>
      <c r="G153" s="356" t="s">
        <v>2840</v>
      </c>
      <c r="H153" s="357">
        <v>16.8409545707578</v>
      </c>
      <c r="I153" s="358">
        <f>(19.98+17.9)/2</f>
        <v>18.939999999999998</v>
      </c>
      <c r="J153" s="359">
        <v>0.12</v>
      </c>
      <c r="K153" s="360" t="s">
        <v>2841</v>
      </c>
      <c r="L153" s="360"/>
      <c r="M153" s="360"/>
      <c r="N153" s="356" t="s">
        <v>1751</v>
      </c>
      <c r="O153" s="356" t="s">
        <v>2779</v>
      </c>
      <c r="P153" s="360" t="s">
        <v>2780</v>
      </c>
      <c r="Q153" s="380"/>
      <c r="R153" s="363">
        <f>1+0.005</f>
        <v>1.005</v>
      </c>
      <c r="S153" s="348">
        <v>0.2006</v>
      </c>
      <c r="T153" s="349">
        <v>0.01191</v>
      </c>
      <c r="U153" s="349">
        <v>0.331</v>
      </c>
      <c r="V153" s="349">
        <v>0.01965</v>
      </c>
      <c r="W153" s="349">
        <v>10.8081</v>
      </c>
      <c r="X153" s="350">
        <v>0.64181</v>
      </c>
      <c r="Y153" s="356"/>
      <c r="Z153" s="356"/>
      <c r="AA153" s="356"/>
    </row>
    <row r="154" spans="1:27" s="303" customFormat="1" ht="28.5">
      <c r="A154" s="383" t="s">
        <v>661</v>
      </c>
      <c r="B154" s="384" t="s">
        <v>418</v>
      </c>
      <c r="C154" s="385" t="s">
        <v>0</v>
      </c>
      <c r="D154" s="386"/>
      <c r="E154" s="387">
        <v>0</v>
      </c>
      <c r="F154" s="387">
        <v>0</v>
      </c>
      <c r="G154" s="388"/>
      <c r="H154" s="389"/>
      <c r="I154" s="389"/>
      <c r="J154" s="391"/>
      <c r="K154" s="392"/>
      <c r="L154" s="392"/>
      <c r="M154" s="392"/>
      <c r="N154" s="388"/>
      <c r="O154" s="388"/>
      <c r="P154" s="393"/>
      <c r="Q154" s="534"/>
      <c r="R154" s="394"/>
      <c r="S154" s="395"/>
      <c r="T154" s="396"/>
      <c r="U154" s="396"/>
      <c r="V154" s="396"/>
      <c r="W154" s="396"/>
      <c r="X154" s="397"/>
      <c r="Y154" s="339"/>
      <c r="Z154" s="339"/>
      <c r="AA154" s="339"/>
    </row>
    <row r="155" spans="1:27" s="303" customFormat="1" ht="28.5">
      <c r="A155" s="383" t="s">
        <v>662</v>
      </c>
      <c r="B155" s="384" t="s">
        <v>418</v>
      </c>
      <c r="C155" s="385" t="s">
        <v>1</v>
      </c>
      <c r="D155" s="386"/>
      <c r="E155" s="387">
        <v>100</v>
      </c>
      <c r="F155" s="387">
        <v>111</v>
      </c>
      <c r="G155" s="388"/>
      <c r="H155" s="389"/>
      <c r="I155" s="389"/>
      <c r="J155" s="391"/>
      <c r="K155" s="392"/>
      <c r="L155" s="392"/>
      <c r="M155" s="392"/>
      <c r="N155" s="388"/>
      <c r="O155" s="388"/>
      <c r="P155" s="393"/>
      <c r="Q155" s="534"/>
      <c r="R155" s="394"/>
      <c r="S155" s="395"/>
      <c r="T155" s="396"/>
      <c r="U155" s="396"/>
      <c r="V155" s="396"/>
      <c r="W155" s="396"/>
      <c r="X155" s="397"/>
      <c r="Y155" s="339"/>
      <c r="Z155" s="339"/>
      <c r="AA155" s="339"/>
    </row>
    <row r="156" spans="1:27" s="352" customFormat="1" ht="28.5">
      <c r="A156" s="351" t="s">
        <v>663</v>
      </c>
      <c r="B156" s="352" t="s">
        <v>418</v>
      </c>
      <c r="C156" s="353" t="s">
        <v>2</v>
      </c>
      <c r="D156" s="352" t="s">
        <v>2842</v>
      </c>
      <c r="E156" s="355">
        <v>230</v>
      </c>
      <c r="F156" s="355">
        <v>254</v>
      </c>
      <c r="G156" s="354" t="s">
        <v>2843</v>
      </c>
      <c r="H156" s="357">
        <v>107.19881114311302</v>
      </c>
      <c r="I156" s="358">
        <f>(113.89+127.23)/2</f>
        <v>120.56</v>
      </c>
      <c r="J156" s="359">
        <v>0.12</v>
      </c>
      <c r="K156" s="360" t="s">
        <v>2844</v>
      </c>
      <c r="L156" s="360" t="s">
        <v>2845</v>
      </c>
      <c r="M156" s="360"/>
      <c r="N156" s="356" t="s">
        <v>1751</v>
      </c>
      <c r="O156" s="356" t="s">
        <v>2846</v>
      </c>
      <c r="P156" s="379">
        <f>0.011/0.18</f>
        <v>0.06111111111111111</v>
      </c>
      <c r="Q156" s="380" t="s">
        <v>2847</v>
      </c>
      <c r="R156" s="363">
        <f>1+0.06</f>
        <v>1.06</v>
      </c>
      <c r="S156" s="348">
        <v>3.6126</v>
      </c>
      <c r="T156" s="349">
        <v>0.03376</v>
      </c>
      <c r="U156" s="349">
        <v>3.3182</v>
      </c>
      <c r="V156" s="349">
        <v>0.03101</v>
      </c>
      <c r="W156" s="349">
        <v>49.4354</v>
      </c>
      <c r="X156" s="350">
        <v>0.46193</v>
      </c>
      <c r="Y156" s="356"/>
      <c r="Z156" s="356"/>
      <c r="AA156" s="356"/>
    </row>
    <row r="157" spans="1:27" s="303" customFormat="1" ht="15">
      <c r="A157" s="383" t="s">
        <v>664</v>
      </c>
      <c r="B157" s="384" t="s">
        <v>418</v>
      </c>
      <c r="C157" s="385" t="s">
        <v>3</v>
      </c>
      <c r="D157" s="386"/>
      <c r="E157" s="387" t="s">
        <v>1689</v>
      </c>
      <c r="F157" s="387" t="s">
        <v>1689</v>
      </c>
      <c r="G157" s="388"/>
      <c r="H157" s="389"/>
      <c r="I157" s="389"/>
      <c r="J157" s="391"/>
      <c r="K157" s="392"/>
      <c r="L157" s="392"/>
      <c r="M157" s="392"/>
      <c r="N157" s="388"/>
      <c r="O157" s="388"/>
      <c r="P157" s="393"/>
      <c r="Q157" s="534"/>
      <c r="R157" s="394"/>
      <c r="S157" s="395"/>
      <c r="T157" s="396"/>
      <c r="U157" s="396"/>
      <c r="V157" s="396"/>
      <c r="W157" s="396"/>
      <c r="X157" s="397"/>
      <c r="Y157" s="339"/>
      <c r="Z157" s="339"/>
      <c r="AA157" s="339"/>
    </row>
    <row r="158" spans="1:27" s="303" customFormat="1" ht="15">
      <c r="A158" s="383" t="s">
        <v>665</v>
      </c>
      <c r="B158" s="384" t="s">
        <v>418</v>
      </c>
      <c r="C158" s="385" t="s">
        <v>4</v>
      </c>
      <c r="D158" s="386"/>
      <c r="E158" s="387" t="s">
        <v>1689</v>
      </c>
      <c r="F158" s="387" t="s">
        <v>1689</v>
      </c>
      <c r="G158" s="388"/>
      <c r="H158" s="389"/>
      <c r="I158" s="389"/>
      <c r="J158" s="391"/>
      <c r="K158" s="392"/>
      <c r="L158" s="392"/>
      <c r="M158" s="392"/>
      <c r="N158" s="388"/>
      <c r="O158" s="388"/>
      <c r="P158" s="393"/>
      <c r="Q158" s="534"/>
      <c r="R158" s="394"/>
      <c r="S158" s="395"/>
      <c r="T158" s="396"/>
      <c r="U158" s="396"/>
      <c r="V158" s="396"/>
      <c r="W158" s="396"/>
      <c r="X158" s="397"/>
      <c r="Y158" s="339"/>
      <c r="Z158" s="339"/>
      <c r="AA158" s="339"/>
    </row>
    <row r="159" spans="1:27" s="338" customFormat="1" ht="15">
      <c r="A159" s="364" t="s">
        <v>666</v>
      </c>
      <c r="B159" s="365" t="s">
        <v>418</v>
      </c>
      <c r="C159" s="366" t="s">
        <v>5</v>
      </c>
      <c r="D159" s="367"/>
      <c r="E159" s="368">
        <v>160</v>
      </c>
      <c r="F159" s="368">
        <v>177</v>
      </c>
      <c r="G159" s="369" t="s">
        <v>1692</v>
      </c>
      <c r="H159" s="370">
        <v>0</v>
      </c>
      <c r="I159" s="369"/>
      <c r="J159" s="372">
        <v>0.12</v>
      </c>
      <c r="K159" s="373"/>
      <c r="L159" s="373"/>
      <c r="M159" s="373"/>
      <c r="N159" s="369"/>
      <c r="O159" s="369"/>
      <c r="P159" s="535"/>
      <c r="Q159" s="536"/>
      <c r="R159" s="375"/>
      <c r="S159" s="376"/>
      <c r="T159" s="377"/>
      <c r="U159" s="377"/>
      <c r="V159" s="377"/>
      <c r="W159" s="377"/>
      <c r="X159" s="378"/>
      <c r="Y159" s="381"/>
      <c r="Z159" s="381"/>
      <c r="AA159" s="381"/>
    </row>
    <row r="160" spans="1:27" s="334" customFormat="1" ht="45">
      <c r="A160" s="398" t="s">
        <v>667</v>
      </c>
      <c r="B160" s="399" t="s">
        <v>418</v>
      </c>
      <c r="C160" s="400" t="s">
        <v>6</v>
      </c>
      <c r="D160" s="401" t="s">
        <v>1840</v>
      </c>
      <c r="E160" s="402">
        <v>2880</v>
      </c>
      <c r="F160" s="402">
        <v>2919</v>
      </c>
      <c r="G160" s="403"/>
      <c r="H160" s="404"/>
      <c r="I160" s="403"/>
      <c r="J160" s="406"/>
      <c r="K160" s="407"/>
      <c r="L160" s="407"/>
      <c r="M160" s="407"/>
      <c r="N160" s="403"/>
      <c r="O160" s="403"/>
      <c r="P160" s="408"/>
      <c r="Q160" s="537"/>
      <c r="R160" s="409"/>
      <c r="S160" s="410"/>
      <c r="T160" s="411"/>
      <c r="U160" s="411"/>
      <c r="V160" s="411"/>
      <c r="W160" s="411"/>
      <c r="X160" s="412"/>
      <c r="Y160" s="342"/>
      <c r="Z160" s="342"/>
      <c r="AA160" s="342"/>
    </row>
    <row r="161" spans="1:27" s="352" customFormat="1" ht="28.5">
      <c r="A161" s="351" t="s">
        <v>668</v>
      </c>
      <c r="B161" s="352" t="s">
        <v>418</v>
      </c>
      <c r="C161" s="353" t="s">
        <v>7</v>
      </c>
      <c r="D161" s="354" t="s">
        <v>1842</v>
      </c>
      <c r="E161" s="355">
        <v>220</v>
      </c>
      <c r="F161" s="355">
        <v>223</v>
      </c>
      <c r="G161" s="356" t="s">
        <v>2848</v>
      </c>
      <c r="H161" s="357">
        <v>15.080201522443579</v>
      </c>
      <c r="I161" s="382">
        <v>15.5</v>
      </c>
      <c r="J161" s="359">
        <v>0.12</v>
      </c>
      <c r="K161" s="360" t="s">
        <v>2849</v>
      </c>
      <c r="L161" s="360"/>
      <c r="M161" s="360"/>
      <c r="N161" s="356" t="s">
        <v>2850</v>
      </c>
      <c r="O161" s="356" t="s">
        <v>2851</v>
      </c>
      <c r="P161" s="379" t="s">
        <v>2852</v>
      </c>
      <c r="Q161" s="380"/>
      <c r="R161" s="363">
        <f>1+0.01</f>
        <v>1.01</v>
      </c>
      <c r="S161" s="348">
        <v>1.0517</v>
      </c>
      <c r="T161" s="349">
        <v>0.06974</v>
      </c>
      <c r="U161" s="349">
        <v>1.0913</v>
      </c>
      <c r="V161" s="349">
        <v>0.07237</v>
      </c>
      <c r="W161" s="349">
        <v>82.1069</v>
      </c>
      <c r="X161" s="350">
        <v>5.44475</v>
      </c>
      <c r="Y161" s="356"/>
      <c r="Z161" s="356"/>
      <c r="AA161" s="356"/>
    </row>
    <row r="162" spans="1:27" s="303" customFormat="1" ht="15">
      <c r="A162" s="383" t="s">
        <v>669</v>
      </c>
      <c r="B162" s="384" t="s">
        <v>418</v>
      </c>
      <c r="C162" s="385" t="s">
        <v>8</v>
      </c>
      <c r="D162" s="386"/>
      <c r="E162" s="387">
        <v>180</v>
      </c>
      <c r="F162" s="387">
        <v>182</v>
      </c>
      <c r="G162" s="388"/>
      <c r="H162" s="389"/>
      <c r="I162" s="390"/>
      <c r="J162" s="391"/>
      <c r="K162" s="392"/>
      <c r="L162" s="392"/>
      <c r="M162" s="392"/>
      <c r="N162" s="388"/>
      <c r="O162" s="388"/>
      <c r="P162" s="393"/>
      <c r="Q162" s="534"/>
      <c r="R162" s="394"/>
      <c r="S162" s="395"/>
      <c r="T162" s="396"/>
      <c r="U162" s="396"/>
      <c r="V162" s="396"/>
      <c r="W162" s="396"/>
      <c r="X162" s="397"/>
      <c r="Y162" s="339"/>
      <c r="Z162" s="339"/>
      <c r="AA162" s="339"/>
    </row>
    <row r="163" spans="1:27" s="352" customFormat="1" ht="15">
      <c r="A163" s="351" t="s">
        <v>670</v>
      </c>
      <c r="B163" s="352" t="s">
        <v>418</v>
      </c>
      <c r="C163" s="353" t="s">
        <v>9</v>
      </c>
      <c r="D163" s="354" t="s">
        <v>1841</v>
      </c>
      <c r="E163" s="355">
        <v>620</v>
      </c>
      <c r="F163" s="355">
        <v>628</v>
      </c>
      <c r="G163" s="356" t="s">
        <v>2853</v>
      </c>
      <c r="H163" s="357">
        <v>93.02538506893181</v>
      </c>
      <c r="I163" s="382">
        <f>(96.76+94.47)/2</f>
        <v>95.61500000000001</v>
      </c>
      <c r="J163" s="359">
        <v>0.12</v>
      </c>
      <c r="K163" s="360" t="s">
        <v>2854</v>
      </c>
      <c r="L163" s="360" t="s">
        <v>2855</v>
      </c>
      <c r="M163" s="360"/>
      <c r="N163" s="356" t="s">
        <v>1751</v>
      </c>
      <c r="O163" s="356" t="s">
        <v>2856</v>
      </c>
      <c r="P163" s="379">
        <f>0.002/0.1</f>
        <v>0.02</v>
      </c>
      <c r="Q163" s="380" t="s">
        <v>2857</v>
      </c>
      <c r="R163" s="363">
        <f>1+0.02</f>
        <v>1.02</v>
      </c>
      <c r="S163" s="348">
        <v>6.9466</v>
      </c>
      <c r="T163" s="349">
        <v>0.07467</v>
      </c>
      <c r="U163" s="349">
        <v>7.0298</v>
      </c>
      <c r="V163" s="349">
        <v>0.07556</v>
      </c>
      <c r="W163" s="349">
        <v>305.4695</v>
      </c>
      <c r="X163" s="350">
        <v>3.28356</v>
      </c>
      <c r="Y163" s="356"/>
      <c r="Z163" s="356"/>
      <c r="AA163" s="356"/>
    </row>
    <row r="164" spans="1:27" s="352" customFormat="1" ht="28.5">
      <c r="A164" s="351" t="s">
        <v>671</v>
      </c>
      <c r="B164" s="352" t="s">
        <v>418</v>
      </c>
      <c r="C164" s="353" t="s">
        <v>10</v>
      </c>
      <c r="D164" s="354" t="s">
        <v>1850</v>
      </c>
      <c r="E164" s="355">
        <v>1260</v>
      </c>
      <c r="F164" s="355">
        <v>1277</v>
      </c>
      <c r="G164" s="356" t="s">
        <v>2858</v>
      </c>
      <c r="H164" s="357">
        <v>90.3012196326194</v>
      </c>
      <c r="I164" s="382">
        <f>(98.75+86.88)/2</f>
        <v>92.815</v>
      </c>
      <c r="J164" s="359">
        <v>0.12</v>
      </c>
      <c r="K164" s="360" t="s">
        <v>2859</v>
      </c>
      <c r="L164" s="360" t="s">
        <v>2860</v>
      </c>
      <c r="M164" s="360"/>
      <c r="N164" s="356" t="s">
        <v>1751</v>
      </c>
      <c r="O164" s="356" t="s">
        <v>2861</v>
      </c>
      <c r="P164" s="379" t="s">
        <v>2862</v>
      </c>
      <c r="Q164" s="380"/>
      <c r="R164" s="363">
        <f>1+0.014</f>
        <v>1.014</v>
      </c>
      <c r="S164" s="348">
        <v>3.7988</v>
      </c>
      <c r="T164" s="349">
        <v>0.04207</v>
      </c>
      <c r="U164" s="349">
        <v>1.9568</v>
      </c>
      <c r="V164" s="349">
        <v>0.02167</v>
      </c>
      <c r="W164" s="349">
        <v>92.9632</v>
      </c>
      <c r="X164" s="350">
        <v>1.02949</v>
      </c>
      <c r="Y164" s="356"/>
      <c r="Z164" s="356"/>
      <c r="AA164" s="356"/>
    </row>
    <row r="165" spans="1:27" s="352" customFormat="1" ht="28.5">
      <c r="A165" s="351" t="s">
        <v>672</v>
      </c>
      <c r="B165" s="352" t="s">
        <v>418</v>
      </c>
      <c r="C165" s="353" t="s">
        <v>11</v>
      </c>
      <c r="D165" s="354" t="s">
        <v>1851</v>
      </c>
      <c r="E165" s="355">
        <v>540</v>
      </c>
      <c r="F165" s="355">
        <v>547</v>
      </c>
      <c r="G165" s="356" t="s">
        <v>2863</v>
      </c>
      <c r="H165" s="357">
        <v>16.97738816558971</v>
      </c>
      <c r="I165" s="382">
        <v>17.45</v>
      </c>
      <c r="J165" s="359">
        <v>0.12</v>
      </c>
      <c r="K165" s="360" t="s">
        <v>2864</v>
      </c>
      <c r="L165" s="360"/>
      <c r="M165" s="360"/>
      <c r="N165" s="356" t="s">
        <v>2799</v>
      </c>
      <c r="O165" s="356" t="s">
        <v>2865</v>
      </c>
      <c r="P165" s="379" t="s">
        <v>2866</v>
      </c>
      <c r="Q165" s="380"/>
      <c r="R165" s="363">
        <f>1+0.07</f>
        <v>1.07</v>
      </c>
      <c r="S165" s="348">
        <v>2.7241</v>
      </c>
      <c r="T165" s="349">
        <v>0.16043</v>
      </c>
      <c r="U165" s="349">
        <v>0.6923</v>
      </c>
      <c r="V165" s="349">
        <v>0.04077</v>
      </c>
      <c r="W165" s="349">
        <v>17.3298</v>
      </c>
      <c r="X165" s="350">
        <v>1.0206</v>
      </c>
      <c r="Y165" s="356"/>
      <c r="Z165" s="356"/>
      <c r="AA165" s="356"/>
    </row>
    <row r="166" spans="1:27" s="384" customFormat="1" ht="15">
      <c r="A166" s="383" t="s">
        <v>673</v>
      </c>
      <c r="B166" s="384" t="s">
        <v>418</v>
      </c>
      <c r="C166" s="385" t="s">
        <v>12</v>
      </c>
      <c r="D166" s="386"/>
      <c r="E166" s="387">
        <v>50</v>
      </c>
      <c r="F166" s="387">
        <v>51</v>
      </c>
      <c r="G166" s="388"/>
      <c r="H166" s="389"/>
      <c r="I166" s="390"/>
      <c r="J166" s="391"/>
      <c r="K166" s="392"/>
      <c r="L166" s="392"/>
      <c r="M166" s="392"/>
      <c r="N166" s="388"/>
      <c r="O166" s="388"/>
      <c r="P166" s="393"/>
      <c r="Q166" s="394"/>
      <c r="R166" s="394"/>
      <c r="S166" s="395"/>
      <c r="T166" s="396"/>
      <c r="U166" s="396"/>
      <c r="V166" s="396"/>
      <c r="W166" s="396"/>
      <c r="X166" s="397"/>
      <c r="Y166" s="388"/>
      <c r="Z166" s="388"/>
      <c r="AA166" s="388"/>
    </row>
    <row r="167" spans="1:27" s="399" customFormat="1" ht="60">
      <c r="A167" s="398" t="s">
        <v>674</v>
      </c>
      <c r="B167" s="399" t="s">
        <v>418</v>
      </c>
      <c r="C167" s="400" t="s">
        <v>13</v>
      </c>
      <c r="D167" s="401" t="s">
        <v>1852</v>
      </c>
      <c r="E167" s="402">
        <v>1540</v>
      </c>
      <c r="F167" s="402">
        <v>1584</v>
      </c>
      <c r="G167" s="403"/>
      <c r="H167" s="404"/>
      <c r="I167" s="405"/>
      <c r="J167" s="406"/>
      <c r="K167" s="407"/>
      <c r="L167" s="407"/>
      <c r="M167" s="407"/>
      <c r="N167" s="403"/>
      <c r="O167" s="403"/>
      <c r="P167" s="408"/>
      <c r="Q167" s="409"/>
      <c r="R167" s="409"/>
      <c r="S167" s="410"/>
      <c r="T167" s="411"/>
      <c r="U167" s="411"/>
      <c r="V167" s="411"/>
      <c r="W167" s="411"/>
      <c r="X167" s="412"/>
      <c r="Y167" s="403"/>
      <c r="Z167" s="403"/>
      <c r="AA167" s="403"/>
    </row>
    <row r="168" spans="1:27" s="352" customFormat="1" ht="28.5">
      <c r="A168" s="351" t="s">
        <v>675</v>
      </c>
      <c r="B168" s="352" t="s">
        <v>418</v>
      </c>
      <c r="C168" s="353" t="s">
        <v>14</v>
      </c>
      <c r="D168" s="354" t="s">
        <v>1843</v>
      </c>
      <c r="E168" s="355">
        <v>550</v>
      </c>
      <c r="F168" s="355">
        <v>566</v>
      </c>
      <c r="G168" s="356" t="s">
        <v>2867</v>
      </c>
      <c r="H168" s="357">
        <v>89.4764958375339</v>
      </c>
      <c r="I168" s="382">
        <v>92.5</v>
      </c>
      <c r="J168" s="359">
        <v>0.12</v>
      </c>
      <c r="K168" s="360" t="s">
        <v>2868</v>
      </c>
      <c r="L168" s="360" t="s">
        <v>2869</v>
      </c>
      <c r="M168" s="360"/>
      <c r="N168" s="356" t="s">
        <v>1751</v>
      </c>
      <c r="O168" s="356" t="s">
        <v>2870</v>
      </c>
      <c r="P168" s="413">
        <f>0.012/0.2</f>
        <v>0.06</v>
      </c>
      <c r="Q168" s="363" t="s">
        <v>2871</v>
      </c>
      <c r="R168" s="363">
        <f>1+0.06</f>
        <v>1.06</v>
      </c>
      <c r="S168" s="348">
        <v>4.0432</v>
      </c>
      <c r="T168" s="349">
        <v>0.04517</v>
      </c>
      <c r="U168" s="349">
        <v>3.8355</v>
      </c>
      <c r="V168" s="349">
        <v>0.04286</v>
      </c>
      <c r="W168" s="349">
        <v>13.5116</v>
      </c>
      <c r="X168" s="350">
        <v>0.151</v>
      </c>
      <c r="Y168" s="356"/>
      <c r="Z168" s="356"/>
      <c r="AA168" s="356"/>
    </row>
    <row r="169" spans="1:27" s="352" customFormat="1" ht="28.5">
      <c r="A169" s="351" t="s">
        <v>676</v>
      </c>
      <c r="B169" s="352" t="s">
        <v>418</v>
      </c>
      <c r="C169" s="353" t="s">
        <v>15</v>
      </c>
      <c r="D169" s="354" t="s">
        <v>1844</v>
      </c>
      <c r="E169" s="355">
        <v>440</v>
      </c>
      <c r="F169" s="355">
        <v>453</v>
      </c>
      <c r="G169" s="356" t="s">
        <v>2872</v>
      </c>
      <c r="H169" s="357">
        <v>36.75791180352744</v>
      </c>
      <c r="I169" s="382">
        <v>38</v>
      </c>
      <c r="J169" s="359">
        <v>0.12</v>
      </c>
      <c r="K169" s="360" t="s">
        <v>2873</v>
      </c>
      <c r="L169" s="360"/>
      <c r="M169" s="360"/>
      <c r="N169" s="356" t="s">
        <v>1751</v>
      </c>
      <c r="O169" s="356" t="s">
        <v>2874</v>
      </c>
      <c r="P169" s="413">
        <f>0.001/0.05</f>
        <v>0.02</v>
      </c>
      <c r="Q169" s="363" t="s">
        <v>2875</v>
      </c>
      <c r="R169" s="363">
        <f>1+0.02</f>
        <v>1.02</v>
      </c>
      <c r="S169" s="348">
        <v>1.2511</v>
      </c>
      <c r="T169" s="349">
        <v>0.03403</v>
      </c>
      <c r="U169" s="349">
        <v>0.0051</v>
      </c>
      <c r="V169" s="349">
        <v>0.00014</v>
      </c>
      <c r="W169" s="349">
        <v>2961.669</v>
      </c>
      <c r="X169" s="350">
        <v>80.56771</v>
      </c>
      <c r="Y169" s="356"/>
      <c r="Z169" s="356"/>
      <c r="AA169" s="356"/>
    </row>
    <row r="170" spans="1:27" s="352" customFormat="1" ht="42.75">
      <c r="A170" s="351" t="s">
        <v>677</v>
      </c>
      <c r="B170" s="352" t="s">
        <v>418</v>
      </c>
      <c r="C170" s="353" t="s">
        <v>16</v>
      </c>
      <c r="D170" s="354" t="s">
        <v>1845</v>
      </c>
      <c r="E170" s="355">
        <v>350</v>
      </c>
      <c r="F170" s="355">
        <v>360</v>
      </c>
      <c r="G170" s="356" t="s">
        <v>2876</v>
      </c>
      <c r="H170" s="357">
        <v>72.60654894665186</v>
      </c>
      <c r="I170" s="382">
        <v>75.06</v>
      </c>
      <c r="J170" s="359">
        <v>0.12</v>
      </c>
      <c r="K170" s="360" t="s">
        <v>2877</v>
      </c>
      <c r="L170" s="360"/>
      <c r="M170" s="360"/>
      <c r="N170" s="356" t="s">
        <v>1751</v>
      </c>
      <c r="O170" s="356" t="s">
        <v>2878</v>
      </c>
      <c r="P170" s="413">
        <f>0.022/0.425</f>
        <v>0.05176470588235294</v>
      </c>
      <c r="Q170" s="363" t="s">
        <v>2732</v>
      </c>
      <c r="R170" s="363">
        <f>1+0.052</f>
        <v>1.052</v>
      </c>
      <c r="S170" s="348">
        <v>2.8221</v>
      </c>
      <c r="T170" s="349">
        <v>0.03887</v>
      </c>
      <c r="U170" s="349">
        <v>1.0635</v>
      </c>
      <c r="V170" s="349">
        <v>0.01465</v>
      </c>
      <c r="W170" s="349">
        <v>14.9147</v>
      </c>
      <c r="X170" s="350">
        <v>0.20541</v>
      </c>
      <c r="Y170" s="356"/>
      <c r="Z170" s="356"/>
      <c r="AA170" s="356"/>
    </row>
    <row r="171" spans="1:27" s="303" customFormat="1" ht="15">
      <c r="A171" s="383" t="s">
        <v>678</v>
      </c>
      <c r="B171" s="384" t="s">
        <v>418</v>
      </c>
      <c r="C171" s="385" t="s">
        <v>17</v>
      </c>
      <c r="D171" s="386"/>
      <c r="E171" s="387">
        <v>20</v>
      </c>
      <c r="F171" s="387">
        <v>21</v>
      </c>
      <c r="G171" s="388"/>
      <c r="H171" s="389"/>
      <c r="I171" s="390"/>
      <c r="J171" s="391"/>
      <c r="K171" s="392"/>
      <c r="L171" s="392"/>
      <c r="M171" s="392"/>
      <c r="N171" s="388"/>
      <c r="O171" s="388"/>
      <c r="P171" s="393"/>
      <c r="Q171" s="394"/>
      <c r="R171" s="394"/>
      <c r="S171" s="395"/>
      <c r="T171" s="396"/>
      <c r="U171" s="396"/>
      <c r="V171" s="396"/>
      <c r="W171" s="396"/>
      <c r="X171" s="397"/>
      <c r="Y171" s="339"/>
      <c r="Z171" s="339"/>
      <c r="AA171" s="339"/>
    </row>
    <row r="172" spans="1:27" s="303" customFormat="1" ht="28.5">
      <c r="A172" s="383" t="s">
        <v>679</v>
      </c>
      <c r="B172" s="384" t="s">
        <v>418</v>
      </c>
      <c r="C172" s="385" t="s">
        <v>18</v>
      </c>
      <c r="D172" s="386"/>
      <c r="E172" s="387">
        <v>60</v>
      </c>
      <c r="F172" s="387">
        <v>62</v>
      </c>
      <c r="G172" s="388"/>
      <c r="H172" s="389"/>
      <c r="I172" s="390"/>
      <c r="J172" s="391"/>
      <c r="K172" s="392"/>
      <c r="L172" s="392"/>
      <c r="M172" s="392"/>
      <c r="N172" s="388"/>
      <c r="O172" s="388"/>
      <c r="P172" s="392"/>
      <c r="Q172" s="394"/>
      <c r="R172" s="394"/>
      <c r="S172" s="395"/>
      <c r="T172" s="396"/>
      <c r="U172" s="396"/>
      <c r="V172" s="396"/>
      <c r="W172" s="396"/>
      <c r="X172" s="397"/>
      <c r="Y172" s="339"/>
      <c r="Z172" s="339"/>
      <c r="AA172" s="339"/>
    </row>
    <row r="173" spans="1:27" s="303" customFormat="1" ht="15">
      <c r="A173" s="383" t="s">
        <v>680</v>
      </c>
      <c r="B173" s="384" t="s">
        <v>418</v>
      </c>
      <c r="C173" s="385" t="s">
        <v>19</v>
      </c>
      <c r="D173" s="386"/>
      <c r="E173" s="387">
        <v>260</v>
      </c>
      <c r="F173" s="387">
        <v>267</v>
      </c>
      <c r="G173" s="388"/>
      <c r="H173" s="389"/>
      <c r="I173" s="388"/>
      <c r="J173" s="391"/>
      <c r="K173" s="392"/>
      <c r="L173" s="392"/>
      <c r="M173" s="392"/>
      <c r="N173" s="388"/>
      <c r="O173" s="388"/>
      <c r="P173" s="392"/>
      <c r="Q173" s="394"/>
      <c r="R173" s="394"/>
      <c r="S173" s="395"/>
      <c r="T173" s="396"/>
      <c r="U173" s="396"/>
      <c r="V173" s="396"/>
      <c r="W173" s="396"/>
      <c r="X173" s="397"/>
      <c r="Y173" s="339"/>
      <c r="Z173" s="339"/>
      <c r="AA173" s="339"/>
    </row>
    <row r="174" spans="1:27" s="303" customFormat="1" ht="15">
      <c r="A174" s="383" t="s">
        <v>427</v>
      </c>
      <c r="B174" s="384" t="s">
        <v>418</v>
      </c>
      <c r="C174" s="385" t="s">
        <v>20</v>
      </c>
      <c r="D174" s="386"/>
      <c r="E174" s="387">
        <v>190</v>
      </c>
      <c r="F174" s="387">
        <v>195</v>
      </c>
      <c r="G174" s="388"/>
      <c r="H174" s="389"/>
      <c r="I174" s="388"/>
      <c r="J174" s="391"/>
      <c r="K174" s="392"/>
      <c r="L174" s="392"/>
      <c r="M174" s="392"/>
      <c r="N174" s="388"/>
      <c r="O174" s="388"/>
      <c r="P174" s="392"/>
      <c r="Q174" s="394"/>
      <c r="R174" s="394"/>
      <c r="S174" s="395"/>
      <c r="T174" s="396"/>
      <c r="U174" s="396"/>
      <c r="V174" s="396"/>
      <c r="W174" s="396"/>
      <c r="X174" s="397"/>
      <c r="Y174" s="339"/>
      <c r="Z174" s="339"/>
      <c r="AA174" s="339"/>
    </row>
    <row r="175" spans="1:27" s="303" customFormat="1" ht="15">
      <c r="A175" s="383" t="s">
        <v>428</v>
      </c>
      <c r="B175" s="384" t="s">
        <v>418</v>
      </c>
      <c r="C175" s="385" t="s">
        <v>21</v>
      </c>
      <c r="D175" s="386"/>
      <c r="E175" s="387">
        <v>70</v>
      </c>
      <c r="F175" s="387">
        <v>7</v>
      </c>
      <c r="G175" s="388"/>
      <c r="H175" s="389"/>
      <c r="I175" s="388"/>
      <c r="J175" s="391"/>
      <c r="K175" s="392"/>
      <c r="L175" s="392"/>
      <c r="M175" s="392"/>
      <c r="N175" s="388"/>
      <c r="O175" s="388"/>
      <c r="P175" s="392"/>
      <c r="Q175" s="394"/>
      <c r="R175" s="394"/>
      <c r="S175" s="395"/>
      <c r="T175" s="396"/>
      <c r="U175" s="396"/>
      <c r="V175" s="396"/>
      <c r="W175" s="396"/>
      <c r="X175" s="397"/>
      <c r="Y175" s="339"/>
      <c r="Z175" s="339"/>
      <c r="AA175" s="339"/>
    </row>
    <row r="176" spans="1:27" s="303" customFormat="1" ht="15">
      <c r="A176" s="383" t="s">
        <v>681</v>
      </c>
      <c r="B176" s="384" t="s">
        <v>418</v>
      </c>
      <c r="C176" s="385" t="s">
        <v>22</v>
      </c>
      <c r="D176" s="386"/>
      <c r="E176" s="387">
        <v>10</v>
      </c>
      <c r="F176" s="387">
        <v>10</v>
      </c>
      <c r="G176" s="388"/>
      <c r="H176" s="389"/>
      <c r="I176" s="388"/>
      <c r="J176" s="391"/>
      <c r="K176" s="392"/>
      <c r="L176" s="392"/>
      <c r="M176" s="533">
        <f>60/50</f>
        <v>1.2</v>
      </c>
      <c r="N176" s="388"/>
      <c r="O176" s="388"/>
      <c r="P176" s="392"/>
      <c r="Q176" s="394"/>
      <c r="R176" s="394"/>
      <c r="S176" s="395"/>
      <c r="T176" s="396"/>
      <c r="U176" s="396"/>
      <c r="V176" s="396"/>
      <c r="W176" s="396"/>
      <c r="X176" s="397"/>
      <c r="Y176" s="339"/>
      <c r="Z176" s="339"/>
      <c r="AA176" s="339"/>
    </row>
    <row r="177" spans="1:27" s="303" customFormat="1" ht="28.5">
      <c r="A177" s="383" t="s">
        <v>682</v>
      </c>
      <c r="B177" s="384" t="s">
        <v>418</v>
      </c>
      <c r="C177" s="385" t="s">
        <v>23</v>
      </c>
      <c r="D177" s="386"/>
      <c r="E177" s="387">
        <v>200</v>
      </c>
      <c r="F177" s="387">
        <v>206</v>
      </c>
      <c r="G177" s="388"/>
      <c r="H177" s="389"/>
      <c r="I177" s="388"/>
      <c r="J177" s="391"/>
      <c r="K177" s="392"/>
      <c r="L177" s="392"/>
      <c r="M177" s="392"/>
      <c r="N177" s="388"/>
      <c r="O177" s="388"/>
      <c r="P177" s="392"/>
      <c r="Q177" s="394"/>
      <c r="R177" s="394"/>
      <c r="S177" s="395"/>
      <c r="T177" s="396"/>
      <c r="U177" s="396"/>
      <c r="V177" s="396"/>
      <c r="W177" s="396"/>
      <c r="X177" s="397"/>
      <c r="Y177" s="339"/>
      <c r="Z177" s="339"/>
      <c r="AA177" s="339"/>
    </row>
    <row r="178" spans="1:27" s="303" customFormat="1" ht="15">
      <c r="A178" s="383" t="s">
        <v>683</v>
      </c>
      <c r="B178" s="384" t="s">
        <v>418</v>
      </c>
      <c r="C178" s="385" t="s">
        <v>24</v>
      </c>
      <c r="D178" s="386"/>
      <c r="E178" s="387">
        <v>190</v>
      </c>
      <c r="F178" s="387">
        <v>195</v>
      </c>
      <c r="G178" s="388"/>
      <c r="H178" s="389"/>
      <c r="I178" s="388"/>
      <c r="J178" s="391"/>
      <c r="K178" s="392"/>
      <c r="L178" s="392"/>
      <c r="M178" s="392"/>
      <c r="N178" s="388"/>
      <c r="O178" s="388"/>
      <c r="P178" s="392"/>
      <c r="Q178" s="394"/>
      <c r="R178" s="394"/>
      <c r="S178" s="395"/>
      <c r="T178" s="396"/>
      <c r="U178" s="396"/>
      <c r="V178" s="396"/>
      <c r="W178" s="396"/>
      <c r="X178" s="397"/>
      <c r="Y178" s="339"/>
      <c r="Z178" s="339"/>
      <c r="AA178" s="339"/>
    </row>
    <row r="179" spans="1:27" s="303" customFormat="1" ht="15">
      <c r="A179" s="383" t="s">
        <v>684</v>
      </c>
      <c r="B179" s="384" t="s">
        <v>418</v>
      </c>
      <c r="C179" s="385" t="s">
        <v>25</v>
      </c>
      <c r="D179" s="386"/>
      <c r="E179" s="387">
        <v>10</v>
      </c>
      <c r="F179" s="387">
        <v>10</v>
      </c>
      <c r="G179" s="388"/>
      <c r="H179" s="389"/>
      <c r="I179" s="388"/>
      <c r="J179" s="391"/>
      <c r="K179" s="392"/>
      <c r="L179" s="392"/>
      <c r="M179" s="533">
        <f>16/12</f>
        <v>1.3333333333333333</v>
      </c>
      <c r="N179" s="388"/>
      <c r="O179" s="388"/>
      <c r="P179" s="392"/>
      <c r="Q179" s="394"/>
      <c r="R179" s="394"/>
      <c r="S179" s="395"/>
      <c r="T179" s="396"/>
      <c r="U179" s="396"/>
      <c r="V179" s="396"/>
      <c r="W179" s="396"/>
      <c r="X179" s="397"/>
      <c r="Y179" s="339"/>
      <c r="Z179" s="339"/>
      <c r="AA179" s="339"/>
    </row>
    <row r="180" spans="1:27" s="303" customFormat="1" ht="15">
      <c r="A180" s="383" t="s">
        <v>685</v>
      </c>
      <c r="B180" s="384" t="s">
        <v>418</v>
      </c>
      <c r="C180" s="385" t="s">
        <v>26</v>
      </c>
      <c r="D180" s="386"/>
      <c r="E180" s="387">
        <v>0</v>
      </c>
      <c r="F180" s="387">
        <v>0</v>
      </c>
      <c r="G180" s="388"/>
      <c r="H180" s="389"/>
      <c r="I180" s="388"/>
      <c r="J180" s="391"/>
      <c r="K180" s="392"/>
      <c r="L180" s="392"/>
      <c r="M180" s="392"/>
      <c r="N180" s="388"/>
      <c r="O180" s="388"/>
      <c r="P180" s="392"/>
      <c r="Q180" s="394"/>
      <c r="R180" s="394"/>
      <c r="S180" s="395"/>
      <c r="T180" s="396"/>
      <c r="U180" s="396"/>
      <c r="V180" s="396"/>
      <c r="W180" s="396"/>
      <c r="X180" s="397"/>
      <c r="Y180" s="339"/>
      <c r="Z180" s="339"/>
      <c r="AA180" s="339"/>
    </row>
    <row r="181" spans="1:27" s="303" customFormat="1" ht="15">
      <c r="A181" s="383" t="s">
        <v>686</v>
      </c>
      <c r="B181" s="384" t="s">
        <v>418</v>
      </c>
      <c r="C181" s="385" t="s">
        <v>27</v>
      </c>
      <c r="D181" s="386"/>
      <c r="E181" s="387">
        <v>0</v>
      </c>
      <c r="F181" s="387">
        <v>0</v>
      </c>
      <c r="G181" s="388"/>
      <c r="H181" s="389"/>
      <c r="I181" s="388"/>
      <c r="J181" s="391"/>
      <c r="K181" s="392"/>
      <c r="L181" s="392"/>
      <c r="M181" s="392"/>
      <c r="N181" s="388"/>
      <c r="O181" s="388"/>
      <c r="P181" s="392"/>
      <c r="Q181" s="394"/>
      <c r="R181" s="394"/>
      <c r="S181" s="395"/>
      <c r="T181" s="396"/>
      <c r="U181" s="396"/>
      <c r="V181" s="396"/>
      <c r="W181" s="396"/>
      <c r="X181" s="397"/>
      <c r="Y181" s="339"/>
      <c r="Z181" s="339"/>
      <c r="AA181" s="339"/>
    </row>
    <row r="182" spans="1:27" s="337" customFormat="1" ht="15">
      <c r="A182" s="383" t="s">
        <v>687</v>
      </c>
      <c r="B182" s="498" t="s">
        <v>418</v>
      </c>
      <c r="C182" s="499" t="s">
        <v>28</v>
      </c>
      <c r="D182" s="500"/>
      <c r="E182" s="501">
        <v>2880</v>
      </c>
      <c r="F182" s="501">
        <v>2993</v>
      </c>
      <c r="G182" s="511"/>
      <c r="H182" s="512"/>
      <c r="I182" s="511"/>
      <c r="J182" s="513"/>
      <c r="K182" s="514"/>
      <c r="L182" s="514"/>
      <c r="M182" s="514"/>
      <c r="N182" s="511"/>
      <c r="O182" s="511"/>
      <c r="P182" s="514"/>
      <c r="Q182" s="504"/>
      <c r="R182" s="394"/>
      <c r="S182" s="441"/>
      <c r="T182" s="448"/>
      <c r="U182" s="448"/>
      <c r="V182" s="448"/>
      <c r="W182" s="448"/>
      <c r="X182" s="449"/>
      <c r="Y182" s="344"/>
      <c r="Z182" s="344"/>
      <c r="AA182" s="344"/>
    </row>
    <row r="183" spans="1:27" s="334" customFormat="1" ht="30">
      <c r="A183" s="398" t="s">
        <v>688</v>
      </c>
      <c r="B183" s="399" t="s">
        <v>418</v>
      </c>
      <c r="C183" s="400" t="s">
        <v>29</v>
      </c>
      <c r="D183" s="401" t="s">
        <v>1853</v>
      </c>
      <c r="E183" s="402">
        <v>1170</v>
      </c>
      <c r="F183" s="402">
        <v>1158</v>
      </c>
      <c r="G183" s="403"/>
      <c r="H183" s="404"/>
      <c r="I183" s="403"/>
      <c r="J183" s="406"/>
      <c r="K183" s="407"/>
      <c r="L183" s="407"/>
      <c r="M183" s="407"/>
      <c r="N183" s="403"/>
      <c r="O183" s="403"/>
      <c r="P183" s="407"/>
      <c r="Q183" s="409"/>
      <c r="R183" s="409"/>
      <c r="S183" s="410"/>
      <c r="T183" s="411"/>
      <c r="U183" s="411"/>
      <c r="V183" s="411"/>
      <c r="W183" s="411"/>
      <c r="X183" s="412"/>
      <c r="Y183" s="342"/>
      <c r="Z183" s="342"/>
      <c r="AA183" s="342"/>
    </row>
    <row r="184" spans="1:27" s="415" customFormat="1" ht="17.25" customHeight="1">
      <c r="A184" s="414" t="s">
        <v>689</v>
      </c>
      <c r="B184" s="415" t="s">
        <v>418</v>
      </c>
      <c r="C184" s="348" t="s">
        <v>30</v>
      </c>
      <c r="D184" s="416" t="s">
        <v>1854</v>
      </c>
      <c r="E184" s="417">
        <v>980</v>
      </c>
      <c r="F184" s="417">
        <v>970</v>
      </c>
      <c r="G184" s="418" t="s">
        <v>2879</v>
      </c>
      <c r="H184" s="415">
        <v>70.9740106571936</v>
      </c>
      <c r="I184" s="418">
        <v>76</v>
      </c>
      <c r="J184" s="419">
        <v>0.12</v>
      </c>
      <c r="K184" s="420" t="s">
        <v>2880</v>
      </c>
      <c r="L184" s="420"/>
      <c r="M184" s="420"/>
      <c r="N184" s="418" t="s">
        <v>2881</v>
      </c>
      <c r="O184" s="418" t="s">
        <v>1732</v>
      </c>
      <c r="P184" s="420" t="s">
        <v>1733</v>
      </c>
      <c r="Q184" s="421" t="s">
        <v>2882</v>
      </c>
      <c r="R184" s="421">
        <f>1+0.018</f>
        <v>1.018</v>
      </c>
      <c r="S184" s="348">
        <v>7.0809</v>
      </c>
      <c r="T184" s="349">
        <v>0.09977</v>
      </c>
      <c r="U184" s="349">
        <v>9.6219</v>
      </c>
      <c r="V184" s="349">
        <v>0.13558</v>
      </c>
      <c r="W184" s="349">
        <v>878.3454</v>
      </c>
      <c r="X184" s="350">
        <v>12.37629</v>
      </c>
      <c r="Y184" s="418"/>
      <c r="Z184" s="418"/>
      <c r="AA184" s="418"/>
    </row>
    <row r="185" spans="1:27" s="415" customFormat="1" ht="24" customHeight="1">
      <c r="A185" s="414" t="s">
        <v>690</v>
      </c>
      <c r="B185" s="415" t="s">
        <v>418</v>
      </c>
      <c r="C185" s="348" t="s">
        <v>31</v>
      </c>
      <c r="D185" s="416" t="s">
        <v>1855</v>
      </c>
      <c r="E185" s="417">
        <v>160</v>
      </c>
      <c r="F185" s="417">
        <v>158</v>
      </c>
      <c r="G185" s="418" t="s">
        <v>2883</v>
      </c>
      <c r="H185" s="415">
        <v>293.234728241563</v>
      </c>
      <c r="I185" s="418">
        <f>(15.5/0.05+318)/2</f>
        <v>314</v>
      </c>
      <c r="J185" s="419">
        <v>0.12</v>
      </c>
      <c r="K185" s="420" t="s">
        <v>2884</v>
      </c>
      <c r="L185" s="420"/>
      <c r="M185" s="420"/>
      <c r="N185" s="418" t="s">
        <v>2885</v>
      </c>
      <c r="O185" s="422" t="s">
        <v>2886</v>
      </c>
      <c r="P185" s="420" t="s">
        <v>2887</v>
      </c>
      <c r="Q185" s="421">
        <f>1+0.02+1.8</f>
        <v>2.8200000000000003</v>
      </c>
      <c r="R185" s="421"/>
      <c r="S185" s="348">
        <v>11.7543</v>
      </c>
      <c r="T185" s="349">
        <v>0.04009</v>
      </c>
      <c r="U185" s="349">
        <v>27.677</v>
      </c>
      <c r="V185" s="349">
        <v>0.09439</v>
      </c>
      <c r="W185" s="349">
        <v>15270.2785</v>
      </c>
      <c r="X185" s="350">
        <v>52.07611</v>
      </c>
      <c r="Y185" s="418"/>
      <c r="Z185" s="418"/>
      <c r="AA185" s="418"/>
    </row>
    <row r="186" spans="1:27" s="424" customFormat="1" ht="28.5">
      <c r="A186" s="423" t="s">
        <v>691</v>
      </c>
      <c r="B186" s="424" t="s">
        <v>418</v>
      </c>
      <c r="C186" s="395" t="s">
        <v>32</v>
      </c>
      <c r="D186" s="425"/>
      <c r="E186" s="426">
        <v>30</v>
      </c>
      <c r="F186" s="426">
        <v>30</v>
      </c>
      <c r="G186" s="427"/>
      <c r="H186" s="427"/>
      <c r="I186" s="427"/>
      <c r="J186" s="428"/>
      <c r="K186" s="429"/>
      <c r="L186" s="429"/>
      <c r="M186" s="429"/>
      <c r="N186" s="427"/>
      <c r="O186" s="430"/>
      <c r="P186" s="429"/>
      <c r="Q186" s="431"/>
      <c r="R186" s="431"/>
      <c r="S186" s="395"/>
      <c r="T186" s="396"/>
      <c r="U186" s="396"/>
      <c r="V186" s="396"/>
      <c r="W186" s="396"/>
      <c r="X186" s="397"/>
      <c r="Y186" s="427"/>
      <c r="Z186" s="427"/>
      <c r="AA186" s="427"/>
    </row>
    <row r="187" spans="1:27" s="432" customFormat="1" ht="45">
      <c r="A187" s="410" t="s">
        <v>692</v>
      </c>
      <c r="B187" s="432" t="s">
        <v>418</v>
      </c>
      <c r="C187" s="410" t="s">
        <v>33</v>
      </c>
      <c r="D187" s="433"/>
      <c r="E187" s="434">
        <v>1710</v>
      </c>
      <c r="F187" s="434">
        <v>1819</v>
      </c>
      <c r="G187" s="435"/>
      <c r="H187" s="435"/>
      <c r="I187" s="435"/>
      <c r="J187" s="436"/>
      <c r="K187" s="437"/>
      <c r="L187" s="437"/>
      <c r="M187" s="437"/>
      <c r="N187" s="435"/>
      <c r="O187" s="438"/>
      <c r="P187" s="437"/>
      <c r="Q187" s="439"/>
      <c r="R187" s="439"/>
      <c r="S187" s="410"/>
      <c r="T187" s="411"/>
      <c r="U187" s="411"/>
      <c r="V187" s="411"/>
      <c r="W187" s="411"/>
      <c r="X187" s="412"/>
      <c r="Y187" s="435"/>
      <c r="Z187" s="435"/>
      <c r="AA187" s="435"/>
    </row>
    <row r="188" spans="1:27" s="415" customFormat="1" ht="28.5">
      <c r="A188" s="414" t="s">
        <v>693</v>
      </c>
      <c r="B188" s="415" t="s">
        <v>418</v>
      </c>
      <c r="C188" s="348" t="s">
        <v>34</v>
      </c>
      <c r="D188" s="416" t="s">
        <v>1856</v>
      </c>
      <c r="E188" s="417">
        <v>200</v>
      </c>
      <c r="F188" s="417">
        <v>213</v>
      </c>
      <c r="G188" s="418" t="s">
        <v>2888</v>
      </c>
      <c r="H188" s="415">
        <v>17.92913465402709</v>
      </c>
      <c r="I188" s="418">
        <f>(19.8+17.9)/2</f>
        <v>18.85</v>
      </c>
      <c r="J188" s="419">
        <v>0.12</v>
      </c>
      <c r="K188" s="420" t="s">
        <v>2889</v>
      </c>
      <c r="L188" s="420"/>
      <c r="M188" s="420"/>
      <c r="N188" s="418" t="s">
        <v>1751</v>
      </c>
      <c r="O188" s="422" t="s">
        <v>2890</v>
      </c>
      <c r="P188" s="420">
        <f>0.014/0.5</f>
        <v>0.028</v>
      </c>
      <c r="Q188" s="421" t="s">
        <v>2891</v>
      </c>
      <c r="R188" s="421">
        <f>1+0.028</f>
        <v>1.028</v>
      </c>
      <c r="S188" s="348">
        <v>1.3647</v>
      </c>
      <c r="T188" s="349">
        <v>0.07616</v>
      </c>
      <c r="U188" s="349">
        <v>0.2937</v>
      </c>
      <c r="V188" s="349">
        <v>0.01639</v>
      </c>
      <c r="W188" s="349">
        <v>19.4724</v>
      </c>
      <c r="X188" s="350">
        <v>1.08663</v>
      </c>
      <c r="Y188" s="418"/>
      <c r="Z188" s="418"/>
      <c r="AA188" s="418"/>
    </row>
    <row r="189" spans="1:27" s="415" customFormat="1" ht="21.75" customHeight="1">
      <c r="A189" s="414" t="s">
        <v>694</v>
      </c>
      <c r="B189" s="415" t="s">
        <v>418</v>
      </c>
      <c r="C189" s="348" t="s">
        <v>35</v>
      </c>
      <c r="D189" s="416" t="s">
        <v>1857</v>
      </c>
      <c r="E189" s="417">
        <v>1080</v>
      </c>
      <c r="F189" s="417">
        <v>1149</v>
      </c>
      <c r="G189" s="418" t="s">
        <v>2892</v>
      </c>
      <c r="H189" s="415">
        <v>7.2953030661213685</v>
      </c>
      <c r="I189" s="418">
        <v>7.67</v>
      </c>
      <c r="J189" s="419">
        <v>0.12</v>
      </c>
      <c r="K189" s="420" t="s">
        <v>2893</v>
      </c>
      <c r="L189" s="420"/>
      <c r="M189" s="420"/>
      <c r="N189" s="418" t="s">
        <v>1751</v>
      </c>
      <c r="O189" s="422" t="s">
        <v>2894</v>
      </c>
      <c r="P189" s="420">
        <f>0.047/1.5</f>
        <v>0.03133333333333333</v>
      </c>
      <c r="Q189" s="421" t="s">
        <v>2857</v>
      </c>
      <c r="R189" s="421">
        <f>1+0.031</f>
        <v>1.031</v>
      </c>
      <c r="S189" s="348">
        <v>0.4076</v>
      </c>
      <c r="T189" s="349">
        <v>0.05584</v>
      </c>
      <c r="U189" s="349">
        <v>0.0914</v>
      </c>
      <c r="V189" s="349">
        <v>0.01252</v>
      </c>
      <c r="W189" s="349">
        <v>3.2241</v>
      </c>
      <c r="X189" s="350">
        <v>0.44166</v>
      </c>
      <c r="Y189" s="418"/>
      <c r="Z189" s="418"/>
      <c r="AA189" s="418"/>
    </row>
    <row r="190" spans="1:27" s="415" customFormat="1" ht="42.75">
      <c r="A190" s="414" t="s">
        <v>695</v>
      </c>
      <c r="B190" s="415" t="s">
        <v>418</v>
      </c>
      <c r="C190" s="348" t="s">
        <v>36</v>
      </c>
      <c r="D190" s="416" t="s">
        <v>1858</v>
      </c>
      <c r="E190" s="417">
        <v>410</v>
      </c>
      <c r="F190" s="417">
        <v>436</v>
      </c>
      <c r="G190" s="418" t="s">
        <v>2895</v>
      </c>
      <c r="H190" s="415">
        <v>17.524896870050352</v>
      </c>
      <c r="I190" s="418">
        <f>(17.95+18.9)/2</f>
        <v>18.424999999999997</v>
      </c>
      <c r="J190" s="419">
        <v>0.12</v>
      </c>
      <c r="K190" s="420" t="s">
        <v>2896</v>
      </c>
      <c r="L190" s="420">
        <v>0.18</v>
      </c>
      <c r="M190" s="420"/>
      <c r="N190" s="418" t="s">
        <v>2850</v>
      </c>
      <c r="O190" s="422" t="s">
        <v>2897</v>
      </c>
      <c r="P190" s="420">
        <v>0.054</v>
      </c>
      <c r="Q190" s="421" t="s">
        <v>2898</v>
      </c>
      <c r="R190" s="421">
        <f>1+0.054</f>
        <v>1.054</v>
      </c>
      <c r="S190" s="348">
        <v>1.0735</v>
      </c>
      <c r="T190" s="349">
        <v>0.06127</v>
      </c>
      <c r="U190" s="349">
        <v>0.8851</v>
      </c>
      <c r="V190" s="349">
        <v>0.05052</v>
      </c>
      <c r="W190" s="349">
        <v>422.9712</v>
      </c>
      <c r="X190" s="350">
        <v>24.14219</v>
      </c>
      <c r="Y190" s="418"/>
      <c r="Z190" s="418"/>
      <c r="AA190" s="418"/>
    </row>
    <row r="191" spans="1:27" s="440" customFormat="1" ht="15">
      <c r="A191" s="423" t="s">
        <v>696</v>
      </c>
      <c r="B191" s="440" t="s">
        <v>418</v>
      </c>
      <c r="C191" s="441" t="s">
        <v>37</v>
      </c>
      <c r="D191" s="442"/>
      <c r="E191" s="443" t="s">
        <v>1689</v>
      </c>
      <c r="F191" s="443" t="s">
        <v>1689</v>
      </c>
      <c r="G191" s="444"/>
      <c r="H191" s="444"/>
      <c r="I191" s="444"/>
      <c r="J191" s="445"/>
      <c r="K191" s="446"/>
      <c r="L191" s="446"/>
      <c r="M191" s="446"/>
      <c r="N191" s="444"/>
      <c r="O191" s="444"/>
      <c r="P191" s="446"/>
      <c r="Q191" s="447"/>
      <c r="R191" s="447"/>
      <c r="S191" s="441"/>
      <c r="T191" s="448"/>
      <c r="U191" s="448"/>
      <c r="V191" s="448"/>
      <c r="W191" s="448"/>
      <c r="X191" s="449"/>
      <c r="Y191" s="444"/>
      <c r="Z191" s="444"/>
      <c r="AA191" s="444"/>
    </row>
    <row r="192" spans="1:27" s="303" customFormat="1" ht="15">
      <c r="A192" s="383"/>
      <c r="B192" s="384"/>
      <c r="C192" s="385"/>
      <c r="D192" s="386"/>
      <c r="E192" s="387"/>
      <c r="F192" s="387"/>
      <c r="G192" s="388"/>
      <c r="H192" s="389"/>
      <c r="I192" s="388"/>
      <c r="J192" s="391"/>
      <c r="K192" s="392"/>
      <c r="L192" s="392"/>
      <c r="M192" s="392"/>
      <c r="N192" s="388"/>
      <c r="O192" s="388"/>
      <c r="P192" s="392"/>
      <c r="Q192" s="394"/>
      <c r="R192" s="394"/>
      <c r="S192" s="395"/>
      <c r="T192" s="396"/>
      <c r="U192" s="396"/>
      <c r="V192" s="396"/>
      <c r="W192" s="396"/>
      <c r="X192" s="397"/>
      <c r="Y192" s="339"/>
      <c r="Z192" s="339"/>
      <c r="AA192" s="339"/>
    </row>
    <row r="193" spans="1:27" s="303" customFormat="1" ht="15">
      <c r="A193" s="383"/>
      <c r="B193" s="384"/>
      <c r="C193" s="385"/>
      <c r="D193" s="386"/>
      <c r="E193" s="387"/>
      <c r="F193" s="387"/>
      <c r="G193" s="388"/>
      <c r="H193" s="389"/>
      <c r="I193" s="388"/>
      <c r="J193" s="391"/>
      <c r="K193" s="392"/>
      <c r="L193" s="392"/>
      <c r="M193" s="392"/>
      <c r="N193" s="388"/>
      <c r="O193" s="388"/>
      <c r="P193" s="392"/>
      <c r="Q193" s="394"/>
      <c r="R193" s="394"/>
      <c r="S193" s="395"/>
      <c r="T193" s="396"/>
      <c r="U193" s="396"/>
      <c r="V193" s="396"/>
      <c r="W193" s="396"/>
      <c r="X193" s="397"/>
      <c r="Y193" s="339"/>
      <c r="Z193" s="339"/>
      <c r="AA193" s="339"/>
    </row>
    <row r="194" spans="1:27" s="303" customFormat="1" ht="15">
      <c r="A194" s="383"/>
      <c r="B194" s="384"/>
      <c r="C194" s="385"/>
      <c r="D194" s="386"/>
      <c r="E194" s="387"/>
      <c r="F194" s="387"/>
      <c r="G194" s="388"/>
      <c r="H194" s="389"/>
      <c r="I194" s="388"/>
      <c r="J194" s="391"/>
      <c r="K194" s="392"/>
      <c r="L194" s="392"/>
      <c r="M194" s="392"/>
      <c r="N194" s="388"/>
      <c r="O194" s="388"/>
      <c r="P194" s="392"/>
      <c r="Q194" s="394"/>
      <c r="R194" s="394"/>
      <c r="S194" s="395"/>
      <c r="T194" s="396"/>
      <c r="U194" s="396"/>
      <c r="V194" s="396"/>
      <c r="W194" s="396"/>
      <c r="X194" s="397"/>
      <c r="Y194" s="339"/>
      <c r="Z194" s="339"/>
      <c r="AA194" s="339"/>
    </row>
    <row r="195" spans="1:27" s="303" customFormat="1" ht="15">
      <c r="A195" s="383"/>
      <c r="B195" s="384"/>
      <c r="C195" s="385"/>
      <c r="D195" s="386"/>
      <c r="E195" s="387"/>
      <c r="F195" s="387"/>
      <c r="G195" s="388"/>
      <c r="H195" s="389"/>
      <c r="I195" s="388"/>
      <c r="J195" s="391"/>
      <c r="K195" s="392"/>
      <c r="L195" s="392"/>
      <c r="M195" s="392"/>
      <c r="N195" s="388"/>
      <c r="O195" s="388"/>
      <c r="P195" s="392"/>
      <c r="Q195" s="394"/>
      <c r="R195" s="394"/>
      <c r="S195" s="395"/>
      <c r="T195" s="396"/>
      <c r="U195" s="396"/>
      <c r="V195" s="396"/>
      <c r="W195" s="396"/>
      <c r="X195" s="397"/>
      <c r="Y195" s="339"/>
      <c r="Z195" s="339"/>
      <c r="AA195" s="339"/>
    </row>
    <row r="196" spans="1:27" s="450" customFormat="1" ht="23.25">
      <c r="A196" s="538" t="s">
        <v>1694</v>
      </c>
      <c r="B196" s="538"/>
      <c r="C196" s="538"/>
      <c r="D196" s="538"/>
      <c r="E196" s="538"/>
      <c r="F196" s="538"/>
      <c r="G196" s="539"/>
      <c r="H196" s="540"/>
      <c r="I196" s="539"/>
      <c r="J196" s="541"/>
      <c r="K196" s="542"/>
      <c r="L196" s="542"/>
      <c r="M196" s="542"/>
      <c r="N196" s="539"/>
      <c r="O196" s="539"/>
      <c r="P196" s="542"/>
      <c r="Q196" s="543"/>
      <c r="R196" s="542"/>
      <c r="S196" s="619"/>
      <c r="T196" s="620"/>
      <c r="U196" s="620"/>
      <c r="V196" s="620"/>
      <c r="W196" s="620"/>
      <c r="X196" s="621"/>
      <c r="Y196" s="451"/>
      <c r="Z196" s="451"/>
      <c r="AA196" s="451"/>
    </row>
    <row r="197" spans="1:27" s="452" customFormat="1" ht="15">
      <c r="A197" s="352" t="s">
        <v>2899</v>
      </c>
      <c r="B197" s="352"/>
      <c r="C197" s="352" t="s">
        <v>2900</v>
      </c>
      <c r="D197" s="352"/>
      <c r="E197" s="352">
        <v>0</v>
      </c>
      <c r="F197" s="352"/>
      <c r="G197" s="352" t="s">
        <v>2901</v>
      </c>
      <c r="H197" s="358">
        <v>68.74648377181306</v>
      </c>
      <c r="I197" s="417">
        <f>(79.75+74.88)/2</f>
        <v>77.315</v>
      </c>
      <c r="J197" s="544">
        <v>0.12</v>
      </c>
      <c r="K197" s="545" t="s">
        <v>2902</v>
      </c>
      <c r="L197" s="545" t="s">
        <v>2902</v>
      </c>
      <c r="M197" s="545"/>
      <c r="N197" s="355" t="s">
        <v>1751</v>
      </c>
      <c r="O197" s="355" t="s">
        <v>2903</v>
      </c>
      <c r="P197" s="421">
        <f>0.007/0.624</f>
        <v>0.011217948717948718</v>
      </c>
      <c r="Q197" s="421"/>
      <c r="R197" s="421">
        <f>1+0.0112</f>
        <v>1.0112</v>
      </c>
      <c r="S197" s="348">
        <v>1.0264</v>
      </c>
      <c r="T197" s="348">
        <v>0.01493</v>
      </c>
      <c r="U197" s="348">
        <v>1.801</v>
      </c>
      <c r="V197" s="348">
        <v>0.0262</v>
      </c>
      <c r="W197" s="348">
        <v>31.9681</v>
      </c>
      <c r="X197" s="546">
        <v>0.46499</v>
      </c>
      <c r="Y197" s="454"/>
      <c r="Z197" s="454"/>
      <c r="AA197" s="454"/>
    </row>
    <row r="198" spans="1:27" s="452" customFormat="1" ht="15">
      <c r="A198" s="352" t="s">
        <v>2904</v>
      </c>
      <c r="B198" s="352"/>
      <c r="C198" s="352" t="s">
        <v>2905</v>
      </c>
      <c r="D198" s="352"/>
      <c r="E198" s="352"/>
      <c r="F198" s="352"/>
      <c r="G198" s="352" t="s">
        <v>2906</v>
      </c>
      <c r="H198" s="358">
        <v>62.166596558317394</v>
      </c>
      <c r="I198" s="417">
        <f>(71+68.83)/2</f>
        <v>69.91499999999999</v>
      </c>
      <c r="J198" s="544">
        <v>0.12</v>
      </c>
      <c r="K198" s="545" t="s">
        <v>2907</v>
      </c>
      <c r="L198" s="545" t="s">
        <v>2908</v>
      </c>
      <c r="M198" s="545"/>
      <c r="N198" s="355" t="s">
        <v>1751</v>
      </c>
      <c r="O198" s="355" t="s">
        <v>2909</v>
      </c>
      <c r="P198" s="421">
        <f>0.012/0.9</f>
        <v>0.013333333333333332</v>
      </c>
      <c r="Q198" s="421"/>
      <c r="R198" s="421">
        <f>1+0.0133</f>
        <v>1.0133</v>
      </c>
      <c r="S198" s="348">
        <v>2.5226</v>
      </c>
      <c r="T198" s="348">
        <v>0.04058</v>
      </c>
      <c r="U198" s="348">
        <v>2.5849</v>
      </c>
      <c r="V198" s="348">
        <v>0.04158</v>
      </c>
      <c r="W198" s="348">
        <v>206.2328</v>
      </c>
      <c r="X198" s="546">
        <v>3.31724</v>
      </c>
      <c r="Y198" s="454"/>
      <c r="Z198" s="454"/>
      <c r="AA198" s="454"/>
    </row>
    <row r="199" spans="1:27" s="452" customFormat="1" ht="15">
      <c r="A199" s="352" t="s">
        <v>2910</v>
      </c>
      <c r="B199" s="352"/>
      <c r="C199" s="352" t="s">
        <v>2911</v>
      </c>
      <c r="D199" s="352"/>
      <c r="E199" s="352">
        <v>0</v>
      </c>
      <c r="F199" s="352"/>
      <c r="G199" s="352" t="s">
        <v>2912</v>
      </c>
      <c r="H199" s="358">
        <v>119.19376769852605</v>
      </c>
      <c r="I199" s="418">
        <f>(151.6+116.5)/2</f>
        <v>134.05</v>
      </c>
      <c r="J199" s="547">
        <v>0.12</v>
      </c>
      <c r="K199" s="363" t="s">
        <v>2913</v>
      </c>
      <c r="L199" s="360" t="s">
        <v>2914</v>
      </c>
      <c r="M199" s="360"/>
      <c r="N199" s="356" t="s">
        <v>2439</v>
      </c>
      <c r="O199" s="356" t="s">
        <v>2915</v>
      </c>
      <c r="P199" s="420" t="s">
        <v>2916</v>
      </c>
      <c r="Q199" s="421"/>
      <c r="R199" s="420">
        <f>1+0.14+0.028</f>
        <v>1.1680000000000001</v>
      </c>
      <c r="S199" s="348">
        <v>4.5335</v>
      </c>
      <c r="T199" s="349">
        <v>0.03804</v>
      </c>
      <c r="U199" s="349">
        <v>4.4659</v>
      </c>
      <c r="V199" s="349">
        <v>0.03747</v>
      </c>
      <c r="W199" s="349">
        <v>885.4301</v>
      </c>
      <c r="X199" s="350">
        <v>7.42873</v>
      </c>
      <c r="Y199" s="455"/>
      <c r="Z199" s="455"/>
      <c r="AA199" s="455"/>
    </row>
    <row r="200" spans="1:27" s="452" customFormat="1" ht="15">
      <c r="A200" s="352" t="s">
        <v>2917</v>
      </c>
      <c r="B200" s="352"/>
      <c r="C200" s="352" t="s">
        <v>2918</v>
      </c>
      <c r="D200" s="352"/>
      <c r="E200" s="352">
        <v>0</v>
      </c>
      <c r="F200" s="352"/>
      <c r="G200" s="352" t="s">
        <v>2919</v>
      </c>
      <c r="H200" s="358">
        <v>16.38302998765641</v>
      </c>
      <c r="I200" s="417">
        <f>(18.9+17.95)/2</f>
        <v>18.424999999999997</v>
      </c>
      <c r="J200" s="544">
        <v>0.12</v>
      </c>
      <c r="K200" s="360" t="s">
        <v>2920</v>
      </c>
      <c r="L200" s="545" t="s">
        <v>2921</v>
      </c>
      <c r="M200" s="545"/>
      <c r="N200" s="355" t="s">
        <v>1751</v>
      </c>
      <c r="O200" s="355" t="s">
        <v>2922</v>
      </c>
      <c r="P200" s="421" t="s">
        <v>2923</v>
      </c>
      <c r="Q200" s="421"/>
      <c r="R200" s="421">
        <f>1+0.044+0.001</f>
        <v>1.045</v>
      </c>
      <c r="S200" s="348">
        <v>0.6264</v>
      </c>
      <c r="T200" s="348">
        <v>0.03824</v>
      </c>
      <c r="U200" s="348">
        <v>0.6436</v>
      </c>
      <c r="V200" s="348">
        <v>0.03929</v>
      </c>
      <c r="W200" s="348">
        <v>246.9979</v>
      </c>
      <c r="X200" s="546">
        <v>15.07924</v>
      </c>
      <c r="Y200" s="454"/>
      <c r="Z200" s="454"/>
      <c r="AA200" s="454"/>
    </row>
    <row r="201" spans="1:27" s="452" customFormat="1" ht="15">
      <c r="A201" s="352" t="s">
        <v>2924</v>
      </c>
      <c r="B201" s="352"/>
      <c r="C201" s="352" t="s">
        <v>2925</v>
      </c>
      <c r="D201" s="352"/>
      <c r="E201" s="352">
        <v>0</v>
      </c>
      <c r="F201" s="352"/>
      <c r="G201" s="352" t="s">
        <v>2926</v>
      </c>
      <c r="H201" s="358">
        <v>16.627552823293076</v>
      </c>
      <c r="I201" s="418">
        <f>(18.9+18.5)/2</f>
        <v>18.7</v>
      </c>
      <c r="J201" s="547">
        <v>0.12</v>
      </c>
      <c r="K201" s="360" t="s">
        <v>2927</v>
      </c>
      <c r="L201" s="360" t="s">
        <v>2928</v>
      </c>
      <c r="M201" s="360"/>
      <c r="N201" s="356" t="s">
        <v>2799</v>
      </c>
      <c r="O201" s="356" t="s">
        <v>2929</v>
      </c>
      <c r="P201" s="420" t="s">
        <v>2930</v>
      </c>
      <c r="Q201" s="421"/>
      <c r="R201" s="420">
        <f>1+0.019+0.002</f>
        <v>1.021</v>
      </c>
      <c r="S201" s="348">
        <v>0.6957</v>
      </c>
      <c r="T201" s="349">
        <v>0.04183</v>
      </c>
      <c r="U201" s="349">
        <v>0.5761</v>
      </c>
      <c r="V201" s="349">
        <v>0.03464</v>
      </c>
      <c r="W201" s="349">
        <v>165.5319</v>
      </c>
      <c r="X201" s="350">
        <v>9.95381</v>
      </c>
      <c r="Y201" s="455"/>
      <c r="Z201" s="455"/>
      <c r="AA201" s="455"/>
    </row>
    <row r="202" spans="1:27" s="452" customFormat="1" ht="15">
      <c r="A202" s="352" t="s">
        <v>2931</v>
      </c>
      <c r="B202" s="352"/>
      <c r="C202" s="352" t="s">
        <v>1700</v>
      </c>
      <c r="D202" s="352"/>
      <c r="E202" s="352">
        <v>0</v>
      </c>
      <c r="F202" s="352"/>
      <c r="G202" s="355" t="s">
        <v>2932</v>
      </c>
      <c r="H202" s="548" t="s">
        <v>413</v>
      </c>
      <c r="I202" s="355" t="s">
        <v>413</v>
      </c>
      <c r="J202" s="544">
        <v>0.25</v>
      </c>
      <c r="K202" s="545" t="s">
        <v>413</v>
      </c>
      <c r="L202" s="545"/>
      <c r="M202" s="545"/>
      <c r="N202" s="355" t="s">
        <v>413</v>
      </c>
      <c r="O202" s="355" t="s">
        <v>413</v>
      </c>
      <c r="P202" s="421"/>
      <c r="Q202" s="421"/>
      <c r="R202" s="421" t="s">
        <v>413</v>
      </c>
      <c r="S202" s="348" t="s">
        <v>413</v>
      </c>
      <c r="T202" s="348">
        <v>0.00749</v>
      </c>
      <c r="U202" s="348" t="s">
        <v>413</v>
      </c>
      <c r="V202" s="348">
        <v>0.0012</v>
      </c>
      <c r="W202" s="348" t="s">
        <v>413</v>
      </c>
      <c r="X202" s="546">
        <v>0.00147</v>
      </c>
      <c r="Y202" s="454"/>
      <c r="Z202" s="454"/>
      <c r="AA202" s="454"/>
    </row>
    <row r="203" spans="1:27" s="452" customFormat="1" ht="15">
      <c r="A203" s="352" t="s">
        <v>2933</v>
      </c>
      <c r="B203" s="352"/>
      <c r="C203" s="352" t="s">
        <v>1696</v>
      </c>
      <c r="D203" s="352"/>
      <c r="E203" s="352">
        <v>0</v>
      </c>
      <c r="F203" s="352"/>
      <c r="G203" s="356"/>
      <c r="H203" s="358"/>
      <c r="I203" s="356"/>
      <c r="J203" s="547"/>
      <c r="K203" s="360"/>
      <c r="L203" s="360"/>
      <c r="M203" s="360"/>
      <c r="N203" s="356"/>
      <c r="O203" s="356"/>
      <c r="P203" s="360"/>
      <c r="Q203" s="363"/>
      <c r="R203" s="360"/>
      <c r="S203" s="348"/>
      <c r="T203" s="349"/>
      <c r="U203" s="349"/>
      <c r="V203" s="349"/>
      <c r="W203" s="349"/>
      <c r="X203" s="350"/>
      <c r="Y203" s="455"/>
      <c r="Z203" s="455"/>
      <c r="AA203" s="455"/>
    </row>
    <row r="204" spans="1:27" s="452" customFormat="1" ht="15">
      <c r="A204" s="352" t="s">
        <v>2934</v>
      </c>
      <c r="B204" s="352"/>
      <c r="C204" s="352" t="s">
        <v>1697</v>
      </c>
      <c r="D204" s="352"/>
      <c r="E204" s="352">
        <v>0</v>
      </c>
      <c r="F204" s="352"/>
      <c r="G204" s="355"/>
      <c r="H204" s="548"/>
      <c r="I204" s="355"/>
      <c r="J204" s="544"/>
      <c r="K204" s="545"/>
      <c r="L204" s="545"/>
      <c r="M204" s="545"/>
      <c r="N204" s="355"/>
      <c r="O204" s="355"/>
      <c r="P204" s="545"/>
      <c r="Q204" s="363"/>
      <c r="R204" s="545"/>
      <c r="S204" s="348"/>
      <c r="T204" s="348"/>
      <c r="U204" s="348"/>
      <c r="V204" s="348"/>
      <c r="W204" s="348"/>
      <c r="X204" s="546"/>
      <c r="Y204" s="454"/>
      <c r="Z204" s="454"/>
      <c r="AA204" s="454"/>
    </row>
    <row r="205" spans="1:27" s="452" customFormat="1" ht="15">
      <c r="A205" s="352" t="s">
        <v>2935</v>
      </c>
      <c r="B205" s="352"/>
      <c r="C205" s="352" t="s">
        <v>1698</v>
      </c>
      <c r="D205" s="352"/>
      <c r="E205" s="352">
        <v>0</v>
      </c>
      <c r="F205" s="352"/>
      <c r="G205" s="356"/>
      <c r="H205" s="358"/>
      <c r="I205" s="356"/>
      <c r="J205" s="547"/>
      <c r="K205" s="360"/>
      <c r="L205" s="360"/>
      <c r="M205" s="360"/>
      <c r="N205" s="356"/>
      <c r="O205" s="356"/>
      <c r="P205" s="360"/>
      <c r="Q205" s="363"/>
      <c r="R205" s="360"/>
      <c r="S205" s="348"/>
      <c r="T205" s="349"/>
      <c r="U205" s="349"/>
      <c r="V205" s="349"/>
      <c r="W205" s="349"/>
      <c r="X205" s="350"/>
      <c r="Y205" s="455"/>
      <c r="Z205" s="455"/>
      <c r="AA205" s="455"/>
    </row>
    <row r="206" spans="1:27" s="456" customFormat="1" ht="15">
      <c r="A206" s="415" t="s">
        <v>2936</v>
      </c>
      <c r="B206" s="415"/>
      <c r="C206" s="415" t="s">
        <v>1699</v>
      </c>
      <c r="D206" s="415"/>
      <c r="E206" s="415">
        <v>0</v>
      </c>
      <c r="F206" s="415"/>
      <c r="G206" s="417" t="s">
        <v>2937</v>
      </c>
      <c r="H206" s="457">
        <v>127.38212902439466</v>
      </c>
      <c r="I206" s="457">
        <v>137.375</v>
      </c>
      <c r="J206" s="544">
        <v>0.12</v>
      </c>
      <c r="K206" s="421" t="s">
        <v>2938</v>
      </c>
      <c r="L206" s="421"/>
      <c r="M206" s="421"/>
      <c r="N206" s="417" t="s">
        <v>2939</v>
      </c>
      <c r="O206" s="417"/>
      <c r="P206" s="421" t="s">
        <v>2882</v>
      </c>
      <c r="Q206" s="421"/>
      <c r="R206" s="421">
        <f>1+0.018</f>
        <v>1.018</v>
      </c>
      <c r="S206" s="348">
        <v>4.6936</v>
      </c>
      <c r="T206" s="348">
        <v>0.03685</v>
      </c>
      <c r="U206" s="348">
        <v>3.0241</v>
      </c>
      <c r="V206" s="348">
        <v>0.02374</v>
      </c>
      <c r="W206" s="348">
        <v>9.8716</v>
      </c>
      <c r="X206" s="546">
        <v>0.0775</v>
      </c>
      <c r="Y206" s="453"/>
      <c r="Z206" s="453"/>
      <c r="AA206" s="453"/>
    </row>
    <row r="207" spans="1:27" s="452" customFormat="1" ht="15">
      <c r="A207" s="352" t="s">
        <v>2940</v>
      </c>
      <c r="B207" s="352"/>
      <c r="C207" s="352" t="s">
        <v>1701</v>
      </c>
      <c r="D207" s="352"/>
      <c r="E207" s="352">
        <v>0</v>
      </c>
      <c r="F207" s="352"/>
      <c r="G207" s="355" t="s">
        <v>2941</v>
      </c>
      <c r="H207" s="548">
        <v>22.184889996853595</v>
      </c>
      <c r="I207" s="355">
        <v>24.95</v>
      </c>
      <c r="J207" s="544">
        <v>0.12</v>
      </c>
      <c r="K207" s="545" t="s">
        <v>2942</v>
      </c>
      <c r="L207" s="545"/>
      <c r="M207" s="545"/>
      <c r="N207" s="355" t="s">
        <v>2943</v>
      </c>
      <c r="O207" s="355" t="s">
        <v>2944</v>
      </c>
      <c r="P207" s="545"/>
      <c r="Q207" s="363"/>
      <c r="R207" s="545">
        <v>1</v>
      </c>
      <c r="S207" s="348">
        <v>0.119</v>
      </c>
      <c r="T207" s="348">
        <v>0.00536</v>
      </c>
      <c r="U207" s="348">
        <v>0.1844</v>
      </c>
      <c r="V207" s="348">
        <v>0.00831</v>
      </c>
      <c r="W207" s="348">
        <v>3.376</v>
      </c>
      <c r="X207" s="546">
        <v>0.15221</v>
      </c>
      <c r="Y207" s="454"/>
      <c r="Z207" s="454"/>
      <c r="AA207" s="454"/>
    </row>
    <row r="208" spans="1:27" s="452" customFormat="1" ht="15">
      <c r="A208" s="352" t="s">
        <v>2945</v>
      </c>
      <c r="B208" s="352"/>
      <c r="C208" s="352" t="s">
        <v>1702</v>
      </c>
      <c r="D208" s="352"/>
      <c r="E208" s="352">
        <v>0</v>
      </c>
      <c r="F208" s="352" t="s">
        <v>2946</v>
      </c>
      <c r="G208" s="356"/>
      <c r="H208" s="358">
        <v>300.5407943461529</v>
      </c>
      <c r="I208" s="418">
        <v>338</v>
      </c>
      <c r="J208" s="419">
        <v>12</v>
      </c>
      <c r="K208" s="420" t="s">
        <v>2947</v>
      </c>
      <c r="L208" s="420"/>
      <c r="M208" s="420"/>
      <c r="N208" s="418" t="s">
        <v>2948</v>
      </c>
      <c r="O208" s="355" t="s">
        <v>2944</v>
      </c>
      <c r="P208" s="420"/>
      <c r="Q208" s="421"/>
      <c r="R208" s="420">
        <v>1</v>
      </c>
      <c r="S208" s="348">
        <v>0.36</v>
      </c>
      <c r="T208" s="349">
        <v>0.0012</v>
      </c>
      <c r="U208" s="349">
        <v>0</v>
      </c>
      <c r="V208" s="349">
        <v>0</v>
      </c>
      <c r="W208" s="349">
        <v>1</v>
      </c>
      <c r="X208" s="350">
        <v>0.00333</v>
      </c>
      <c r="Y208" s="455"/>
      <c r="Z208" s="455"/>
      <c r="AA208" s="455"/>
    </row>
    <row r="209" spans="1:27" s="303" customFormat="1" ht="14.25">
      <c r="A209" s="384"/>
      <c r="B209" s="384"/>
      <c r="C209" s="384"/>
      <c r="D209" s="384"/>
      <c r="E209" s="384"/>
      <c r="F209" s="384"/>
      <c r="G209" s="387"/>
      <c r="H209" s="549"/>
      <c r="I209" s="387"/>
      <c r="J209" s="550"/>
      <c r="K209" s="551"/>
      <c r="L209" s="551"/>
      <c r="M209" s="551"/>
      <c r="N209" s="387"/>
      <c r="O209" s="387"/>
      <c r="P209" s="551"/>
      <c r="Q209" s="394"/>
      <c r="R209" s="551"/>
      <c r="S209" s="395"/>
      <c r="T209" s="395"/>
      <c r="U209" s="395"/>
      <c r="V209" s="395"/>
      <c r="W209" s="395"/>
      <c r="X209" s="622"/>
      <c r="Y209" s="458"/>
      <c r="Z209" s="458"/>
      <c r="AA209" s="458"/>
    </row>
    <row r="210" spans="1:27" s="303" customFormat="1" ht="14.25">
      <c r="A210" s="384"/>
      <c r="B210" s="384"/>
      <c r="C210" s="384"/>
      <c r="D210" s="384"/>
      <c r="E210" s="384"/>
      <c r="F210" s="384"/>
      <c r="G210" s="388"/>
      <c r="H210" s="389"/>
      <c r="I210" s="388"/>
      <c r="J210" s="391"/>
      <c r="K210" s="392"/>
      <c r="L210" s="392"/>
      <c r="M210" s="392"/>
      <c r="N210" s="388"/>
      <c r="O210" s="388"/>
      <c r="P210" s="392"/>
      <c r="Q210" s="394"/>
      <c r="R210" s="392"/>
      <c r="S210" s="395"/>
      <c r="T210" s="396"/>
      <c r="U210" s="396"/>
      <c r="V210" s="396"/>
      <c r="W210" s="396"/>
      <c r="X210" s="397"/>
      <c r="Y210" s="339"/>
      <c r="Z210" s="339"/>
      <c r="AA210" s="339"/>
    </row>
    <row r="211" spans="1:27" s="459" customFormat="1" ht="15.75">
      <c r="A211" s="552" t="s">
        <v>2087</v>
      </c>
      <c r="B211" s="552"/>
      <c r="C211" s="552"/>
      <c r="D211" s="552"/>
      <c r="E211" s="552"/>
      <c r="F211" s="552"/>
      <c r="G211" s="553"/>
      <c r="H211" s="554"/>
      <c r="I211" s="553"/>
      <c r="J211" s="552"/>
      <c r="K211" s="555"/>
      <c r="L211" s="556"/>
      <c r="M211" s="556"/>
      <c r="N211" s="553"/>
      <c r="O211" s="553"/>
      <c r="P211" s="556"/>
      <c r="Q211" s="555"/>
      <c r="R211" s="556"/>
      <c r="S211" s="623"/>
      <c r="T211" s="623"/>
      <c r="U211" s="623"/>
      <c r="V211" s="623"/>
      <c r="W211" s="623"/>
      <c r="X211" s="624"/>
      <c r="Y211" s="460"/>
      <c r="Z211" s="460"/>
      <c r="AA211" s="460"/>
    </row>
    <row r="212" spans="1:27" s="461" customFormat="1" ht="17.25" customHeight="1">
      <c r="A212" s="557"/>
      <c r="B212" s="558"/>
      <c r="C212" s="557"/>
      <c r="D212" s="557"/>
      <c r="E212" s="557"/>
      <c r="F212" s="557"/>
      <c r="G212" s="558"/>
      <c r="H212" s="559"/>
      <c r="I212" s="558"/>
      <c r="J212" s="557"/>
      <c r="K212" s="560"/>
      <c r="L212" s="561"/>
      <c r="M212" s="561"/>
      <c r="N212" s="558"/>
      <c r="O212" s="558"/>
      <c r="P212" s="561"/>
      <c r="Q212" s="560"/>
      <c r="R212" s="561"/>
      <c r="S212" s="414"/>
      <c r="T212" s="414"/>
      <c r="U212" s="414"/>
      <c r="V212" s="414"/>
      <c r="W212" s="414"/>
      <c r="X212" s="625"/>
      <c r="Y212" s="462"/>
      <c r="Z212" s="462"/>
      <c r="AA212" s="462"/>
    </row>
    <row r="213" spans="1:27" s="461" customFormat="1" ht="15.75">
      <c r="A213" s="557"/>
      <c r="B213" s="558" t="s">
        <v>2093</v>
      </c>
      <c r="C213" s="557" t="s">
        <v>2096</v>
      </c>
      <c r="D213" s="560" t="s">
        <v>2097</v>
      </c>
      <c r="E213" s="557" t="s">
        <v>2412</v>
      </c>
      <c r="F213" s="557" t="s">
        <v>2413</v>
      </c>
      <c r="G213" s="558" t="s">
        <v>2102</v>
      </c>
      <c r="H213" s="559" t="s">
        <v>2414</v>
      </c>
      <c r="I213" s="557" t="s">
        <v>2949</v>
      </c>
      <c r="J213" s="557" t="s">
        <v>2950</v>
      </c>
      <c r="K213" s="561" t="s">
        <v>2534</v>
      </c>
      <c r="L213" s="561" t="s">
        <v>2951</v>
      </c>
      <c r="M213" s="557" t="s">
        <v>2952</v>
      </c>
      <c r="N213" s="558"/>
      <c r="O213" s="558"/>
      <c r="P213" s="561"/>
      <c r="Q213" s="560"/>
      <c r="R213" s="561"/>
      <c r="S213" s="414"/>
      <c r="T213" s="414"/>
      <c r="U213" s="414"/>
      <c r="V213" s="414"/>
      <c r="W213" s="414"/>
      <c r="X213" s="625"/>
      <c r="Y213" s="462"/>
      <c r="Z213" s="462"/>
      <c r="AA213" s="462"/>
    </row>
    <row r="214" spans="1:27" s="452" customFormat="1" ht="15">
      <c r="A214" s="352" t="s">
        <v>2088</v>
      </c>
      <c r="B214" s="380">
        <f>0.3*10.85</f>
        <v>3.255</v>
      </c>
      <c r="C214" s="380">
        <f>((B214*('[2]KPI , PPI'!D$28/'[2]KPI , PPI'!E$28))*('[2]KPI , PPI'!C$28/'[2]KPI , PPI'!D$28))*('[2]KPI , PPI'!B$28/'[2]KPI , PPI'!C$28)</f>
        <v>2.8305546147332765</v>
      </c>
      <c r="D214" s="562">
        <v>1.39</v>
      </c>
      <c r="E214" s="352" t="s">
        <v>2953</v>
      </c>
      <c r="F214" s="352" t="s">
        <v>1751</v>
      </c>
      <c r="G214" s="563" t="s">
        <v>1751</v>
      </c>
      <c r="H214" s="564" t="s">
        <v>2954</v>
      </c>
      <c r="I214" s="380">
        <f>D214</f>
        <v>1.39</v>
      </c>
      <c r="J214" s="563" t="s">
        <v>2955</v>
      </c>
      <c r="K214" s="565">
        <v>0.5375</v>
      </c>
      <c r="L214" s="565">
        <v>0.9355</v>
      </c>
      <c r="M214" s="565">
        <v>1.9441</v>
      </c>
      <c r="N214" s="355"/>
      <c r="O214" s="355"/>
      <c r="P214" s="545"/>
      <c r="Q214" s="363"/>
      <c r="R214" s="545"/>
      <c r="S214" s="348"/>
      <c r="T214" s="348"/>
      <c r="U214" s="348"/>
      <c r="V214" s="348"/>
      <c r="W214" s="348"/>
      <c r="X214" s="546"/>
      <c r="Y214" s="454"/>
      <c r="Z214" s="454"/>
      <c r="AA214" s="454"/>
    </row>
    <row r="215" spans="1:27" s="452" customFormat="1" ht="15">
      <c r="A215" s="352" t="s">
        <v>1720</v>
      </c>
      <c r="B215" s="380">
        <f>0.5*10.85</f>
        <v>5.425</v>
      </c>
      <c r="C215" s="380">
        <f>((B215*('[2]KPI , PPI'!D$28/'[2]KPI , PPI'!E$28))*('[2]KPI , PPI'!C$28/'[2]KPI , PPI'!D$28))*('[2]KPI , PPI'!B$28/'[2]KPI , PPI'!C$28)</f>
        <v>4.717591024555461</v>
      </c>
      <c r="D215" s="562">
        <f>D214</f>
        <v>1.39</v>
      </c>
      <c r="E215" s="352" t="s">
        <v>2956</v>
      </c>
      <c r="F215" s="352" t="s">
        <v>1751</v>
      </c>
      <c r="G215" s="563" t="s">
        <v>1751</v>
      </c>
      <c r="H215" s="566" t="s">
        <v>2957</v>
      </c>
      <c r="I215" s="379">
        <f>D215</f>
        <v>1.39</v>
      </c>
      <c r="J215" s="567" t="s">
        <v>2955</v>
      </c>
      <c r="K215" s="413">
        <v>0.8066</v>
      </c>
      <c r="L215" s="413">
        <v>1.0286</v>
      </c>
      <c r="M215" s="413">
        <v>1.9049</v>
      </c>
      <c r="N215" s="356"/>
      <c r="O215" s="356"/>
      <c r="P215" s="360"/>
      <c r="Q215" s="363"/>
      <c r="R215" s="360"/>
      <c r="S215" s="348"/>
      <c r="T215" s="349"/>
      <c r="U215" s="349"/>
      <c r="V215" s="349"/>
      <c r="W215" s="349"/>
      <c r="X215" s="350"/>
      <c r="Y215" s="455"/>
      <c r="Z215" s="455"/>
      <c r="AA215" s="455"/>
    </row>
    <row r="216" spans="1:27" s="452" customFormat="1" ht="15">
      <c r="A216" s="352" t="s">
        <v>2094</v>
      </c>
      <c r="B216" s="380">
        <v>10.263</v>
      </c>
      <c r="C216" s="380">
        <f>((B216*('[2]KPI , PPI'!D$28/'[2]KPI , PPI'!E$28))*('[2]KPI , PPI'!C$28/'[2]KPI , PPI'!D$28))*('[2]KPI , PPI'!B$28/'[2]KPI , PPI'!C$28)</f>
        <v>8.924725656223538</v>
      </c>
      <c r="D216" s="363">
        <v>2</v>
      </c>
      <c r="E216" s="352" t="s">
        <v>2958</v>
      </c>
      <c r="F216" s="352" t="s">
        <v>1751</v>
      </c>
      <c r="G216" s="563" t="s">
        <v>1751</v>
      </c>
      <c r="H216" s="564" t="s">
        <v>2959</v>
      </c>
      <c r="I216" s="380">
        <f>D216</f>
        <v>2</v>
      </c>
      <c r="J216" s="568" t="s">
        <v>2955</v>
      </c>
      <c r="K216" s="569">
        <v>1.213</v>
      </c>
      <c r="L216" s="569">
        <v>2.0116</v>
      </c>
      <c r="M216" s="569">
        <v>4.209</v>
      </c>
      <c r="N216" s="355"/>
      <c r="O216" s="355"/>
      <c r="P216" s="545"/>
      <c r="Q216" s="363"/>
      <c r="R216" s="545"/>
      <c r="S216" s="348"/>
      <c r="T216" s="348"/>
      <c r="U216" s="348"/>
      <c r="V216" s="348"/>
      <c r="W216" s="348"/>
      <c r="X216" s="546"/>
      <c r="Y216" s="454"/>
      <c r="Z216" s="454"/>
      <c r="AA216" s="454"/>
    </row>
    <row r="217" spans="1:27" s="452" customFormat="1" ht="15">
      <c r="A217" s="352" t="s">
        <v>2960</v>
      </c>
      <c r="B217" s="380"/>
      <c r="C217" s="380">
        <f>C259</f>
        <v>5.582581243181818</v>
      </c>
      <c r="D217" s="380">
        <f>10/3.3</f>
        <v>3.0303030303030303</v>
      </c>
      <c r="E217" s="352" t="s">
        <v>2961</v>
      </c>
      <c r="F217" s="352" t="s">
        <v>2103</v>
      </c>
      <c r="G217" s="563" t="s">
        <v>2103</v>
      </c>
      <c r="H217" s="566" t="s">
        <v>2962</v>
      </c>
      <c r="I217" s="379">
        <f>D217</f>
        <v>3.0303030303030303</v>
      </c>
      <c r="J217" s="567" t="s">
        <v>2955</v>
      </c>
      <c r="K217" s="570">
        <v>2.0583</v>
      </c>
      <c r="L217" s="413">
        <v>212.261</v>
      </c>
      <c r="M217" s="413">
        <v>1.3722</v>
      </c>
      <c r="N217" s="356"/>
      <c r="O217" s="356"/>
      <c r="P217" s="360"/>
      <c r="Q217" s="363"/>
      <c r="R217" s="360"/>
      <c r="S217" s="348"/>
      <c r="T217" s="349"/>
      <c r="U217" s="349"/>
      <c r="V217" s="349"/>
      <c r="W217" s="349"/>
      <c r="X217" s="350"/>
      <c r="Y217" s="455"/>
      <c r="Z217" s="455"/>
      <c r="AA217" s="455"/>
    </row>
    <row r="218" spans="1:27" s="463" customFormat="1" ht="15">
      <c r="A218" s="365" t="s">
        <v>2095</v>
      </c>
      <c r="B218" s="536"/>
      <c r="C218" s="536"/>
      <c r="D218" s="375">
        <f>7.5*0.7</f>
        <v>5.25</v>
      </c>
      <c r="E218" s="365" t="s">
        <v>2963</v>
      </c>
      <c r="F218" s="365" t="s">
        <v>2099</v>
      </c>
      <c r="G218" s="571" t="s">
        <v>2099</v>
      </c>
      <c r="H218" s="572"/>
      <c r="I218" s="536"/>
      <c r="J218" s="573"/>
      <c r="K218" s="574"/>
      <c r="L218" s="574"/>
      <c r="M218" s="574"/>
      <c r="N218" s="368"/>
      <c r="O218" s="368"/>
      <c r="P218" s="575"/>
      <c r="Q218" s="375"/>
      <c r="R218" s="575"/>
      <c r="S218" s="376"/>
      <c r="T218" s="376"/>
      <c r="U218" s="376"/>
      <c r="V218" s="376"/>
      <c r="W218" s="376"/>
      <c r="X218" s="626"/>
      <c r="Y218" s="464"/>
      <c r="Z218" s="464"/>
      <c r="AA218" s="464"/>
    </row>
    <row r="219" spans="1:27" s="452" customFormat="1" ht="15">
      <c r="A219" s="352" t="s">
        <v>2098</v>
      </c>
      <c r="B219" s="380">
        <f>B216</f>
        <v>10.263</v>
      </c>
      <c r="C219" s="380">
        <f>((B219*('[2]KPI , PPI'!D$28/'[2]KPI , PPI'!E$28))*('[2]KPI , PPI'!C$28/'[2]KPI , PPI'!D$28))*('[2]KPI , PPI'!B$28/'[2]KPI , PPI'!C$28)</f>
        <v>8.924725656223538</v>
      </c>
      <c r="D219" s="363">
        <v>2.5</v>
      </c>
      <c r="E219" s="352" t="s">
        <v>2958</v>
      </c>
      <c r="F219" s="352" t="s">
        <v>1751</v>
      </c>
      <c r="G219" s="563" t="s">
        <v>1751</v>
      </c>
      <c r="H219" s="566" t="s">
        <v>2964</v>
      </c>
      <c r="I219" s="379">
        <f>D219</f>
        <v>2.5</v>
      </c>
      <c r="J219" s="567" t="s">
        <v>2955</v>
      </c>
      <c r="K219" s="413">
        <v>1.3937</v>
      </c>
      <c r="L219" s="413">
        <v>2.3374</v>
      </c>
      <c r="M219" s="413">
        <v>5.2197</v>
      </c>
      <c r="N219" s="356"/>
      <c r="O219" s="356"/>
      <c r="P219" s="360"/>
      <c r="Q219" s="363"/>
      <c r="R219" s="360"/>
      <c r="S219" s="348"/>
      <c r="T219" s="349"/>
      <c r="U219" s="349"/>
      <c r="V219" s="349"/>
      <c r="W219" s="349"/>
      <c r="X219" s="350"/>
      <c r="Y219" s="455"/>
      <c r="Z219" s="455"/>
      <c r="AA219" s="455"/>
    </row>
    <row r="220" spans="1:27" s="452" customFormat="1" ht="15">
      <c r="A220" s="352" t="s">
        <v>2965</v>
      </c>
      <c r="B220" s="380" t="s">
        <v>413</v>
      </c>
      <c r="C220" s="576">
        <v>34.01949416666667</v>
      </c>
      <c r="D220" s="363">
        <v>5</v>
      </c>
      <c r="E220" s="352" t="s">
        <v>2966</v>
      </c>
      <c r="F220" s="352" t="s">
        <v>1756</v>
      </c>
      <c r="G220" s="563" t="s">
        <v>1756</v>
      </c>
      <c r="H220" s="564" t="s">
        <v>2967</v>
      </c>
      <c r="I220" s="380">
        <f>D220</f>
        <v>5</v>
      </c>
      <c r="J220" s="568" t="s">
        <v>2955</v>
      </c>
      <c r="K220" s="569">
        <v>3.8144</v>
      </c>
      <c r="L220" s="569">
        <v>282.1851</v>
      </c>
      <c r="M220" s="569">
        <v>12.1657</v>
      </c>
      <c r="N220" s="355"/>
      <c r="O220" s="355"/>
      <c r="P220" s="545"/>
      <c r="Q220" s="363"/>
      <c r="R220" s="545"/>
      <c r="S220" s="348"/>
      <c r="T220" s="348"/>
      <c r="U220" s="348"/>
      <c r="V220" s="348"/>
      <c r="W220" s="348"/>
      <c r="X220" s="546"/>
      <c r="Y220" s="454"/>
      <c r="Z220" s="454"/>
      <c r="AA220" s="454"/>
    </row>
    <row r="221" spans="1:27" s="452" customFormat="1" ht="15">
      <c r="A221" s="352" t="s">
        <v>2968</v>
      </c>
      <c r="B221" s="380" t="s">
        <v>413</v>
      </c>
      <c r="C221" s="380">
        <v>7.09</v>
      </c>
      <c r="D221" s="380">
        <f>1/0.45</f>
        <v>2.2222222222222223</v>
      </c>
      <c r="E221" s="352" t="s">
        <v>2969</v>
      </c>
      <c r="F221" s="352" t="s">
        <v>2439</v>
      </c>
      <c r="G221" s="563" t="s">
        <v>2439</v>
      </c>
      <c r="H221" s="566" t="s">
        <v>2970</v>
      </c>
      <c r="I221" s="379">
        <f>D221</f>
        <v>2.2222222222222223</v>
      </c>
      <c r="J221" s="567" t="s">
        <v>2971</v>
      </c>
      <c r="K221" s="413">
        <f>1.9448*0.6</f>
        <v>1.16688</v>
      </c>
      <c r="L221" s="413">
        <f>3.1711*0.6</f>
        <v>1.90266</v>
      </c>
      <c r="M221" s="413">
        <f>6.0217*0.6</f>
        <v>3.6130199999999997</v>
      </c>
      <c r="N221" s="356"/>
      <c r="O221" s="356"/>
      <c r="P221" s="360"/>
      <c r="Q221" s="363"/>
      <c r="R221" s="360"/>
      <c r="S221" s="348"/>
      <c r="T221" s="349"/>
      <c r="U221" s="349"/>
      <c r="V221" s="349"/>
      <c r="W221" s="349"/>
      <c r="X221" s="350"/>
      <c r="Y221" s="455"/>
      <c r="Z221" s="455"/>
      <c r="AA221" s="455"/>
    </row>
    <row r="222" spans="1:27" s="465" customFormat="1" ht="15">
      <c r="A222" s="498" t="s">
        <v>2972</v>
      </c>
      <c r="B222" s="504">
        <v>77.2</v>
      </c>
      <c r="C222" s="577">
        <f>((B222*('[2]KPI , PPI'!D$26/'[2]KPI , PPI'!E$26))*('[2]KPI , PPI'!C$26/'[2]KPI , PPI'!D$26))*('[2]KPI , PPI'!B$26/'[2]KPI , PPI'!C$26)</f>
        <v>62.14628403237675</v>
      </c>
      <c r="D222" s="504"/>
      <c r="E222" s="498" t="s">
        <v>2973</v>
      </c>
      <c r="F222" s="498" t="s">
        <v>2466</v>
      </c>
      <c r="G222" s="578" t="s">
        <v>2466</v>
      </c>
      <c r="H222" s="579"/>
      <c r="I222" s="580">
        <f aca="true" t="shared" si="7" ref="I222:I230">D222</f>
        <v>0</v>
      </c>
      <c r="J222" s="578">
        <v>1.7</v>
      </c>
      <c r="K222" s="581"/>
      <c r="L222" s="581"/>
      <c r="M222" s="581"/>
      <c r="N222" s="501"/>
      <c r="O222" s="501"/>
      <c r="P222" s="582"/>
      <c r="Q222" s="504"/>
      <c r="R222" s="582"/>
      <c r="S222" s="441"/>
      <c r="T222" s="441"/>
      <c r="U222" s="441"/>
      <c r="V222" s="441"/>
      <c r="W222" s="441"/>
      <c r="X222" s="627"/>
      <c r="Y222" s="466"/>
      <c r="Z222" s="466"/>
      <c r="AA222" s="466"/>
    </row>
    <row r="223" spans="1:27" s="452" customFormat="1" ht="15">
      <c r="A223" s="352" t="s">
        <v>1822</v>
      </c>
      <c r="B223" s="363" t="s">
        <v>413</v>
      </c>
      <c r="C223" s="380">
        <f>3499*8.56/1000</f>
        <v>29.95144</v>
      </c>
      <c r="D223" s="363">
        <v>2</v>
      </c>
      <c r="E223" s="352" t="s">
        <v>1725</v>
      </c>
      <c r="F223" s="352" t="s">
        <v>1751</v>
      </c>
      <c r="G223" s="583" t="s">
        <v>1751</v>
      </c>
      <c r="H223" s="564" t="s">
        <v>2974</v>
      </c>
      <c r="I223" s="379">
        <f t="shared" si="7"/>
        <v>2</v>
      </c>
      <c r="J223" s="568" t="s">
        <v>2955</v>
      </c>
      <c r="K223" s="569">
        <v>10.4265</v>
      </c>
      <c r="L223" s="569">
        <v>53.9845</v>
      </c>
      <c r="M223" s="569">
        <v>1.9239</v>
      </c>
      <c r="N223" s="355"/>
      <c r="O223" s="355"/>
      <c r="P223" s="545"/>
      <c r="Q223" s="363"/>
      <c r="R223" s="545"/>
      <c r="S223" s="348"/>
      <c r="T223" s="348"/>
      <c r="U223" s="348"/>
      <c r="V223" s="348"/>
      <c r="W223" s="348"/>
      <c r="X223" s="546"/>
      <c r="Y223" s="454"/>
      <c r="Z223" s="454"/>
      <c r="AA223" s="454"/>
    </row>
    <row r="224" spans="1:27" s="452" customFormat="1" ht="15">
      <c r="A224" s="352" t="s">
        <v>2975</v>
      </c>
      <c r="B224" s="380">
        <f>1.92/0.2</f>
        <v>9.6</v>
      </c>
      <c r="C224" s="380">
        <f>((B224*('[2]KPI , PPI'!D$30/'[2]KPI , PPI'!E$30))*('[2]KPI , PPI'!C$30/'[2]KPI , PPI'!D$30))*('[2]KPI , PPI'!B$30/'[2]KPI , PPI'!C$30)</f>
        <v>8.910302659737082</v>
      </c>
      <c r="D224" s="363">
        <v>0.97</v>
      </c>
      <c r="E224" s="352" t="s">
        <v>1720</v>
      </c>
      <c r="F224" s="352" t="s">
        <v>1756</v>
      </c>
      <c r="G224" s="583" t="s">
        <v>1756</v>
      </c>
      <c r="H224" s="564" t="s">
        <v>2976</v>
      </c>
      <c r="I224" s="379">
        <f t="shared" si="7"/>
        <v>0.97</v>
      </c>
      <c r="J224" s="568" t="s">
        <v>2955</v>
      </c>
      <c r="K224" s="569">
        <v>0.9566</v>
      </c>
      <c r="L224" s="569">
        <v>1.7364</v>
      </c>
      <c r="M224" s="569">
        <v>1.8925</v>
      </c>
      <c r="N224" s="355"/>
      <c r="O224" s="355"/>
      <c r="P224" s="545"/>
      <c r="Q224" s="363"/>
      <c r="R224" s="545"/>
      <c r="S224" s="348"/>
      <c r="T224" s="348"/>
      <c r="U224" s="348"/>
      <c r="V224" s="348"/>
      <c r="W224" s="348"/>
      <c r="X224" s="546"/>
      <c r="Y224" s="454"/>
      <c r="Z224" s="454"/>
      <c r="AA224" s="454"/>
    </row>
    <row r="225" spans="1:27" s="452" customFormat="1" ht="15">
      <c r="A225" s="352" t="s">
        <v>2977</v>
      </c>
      <c r="B225" s="380"/>
      <c r="C225" s="380">
        <v>7.42</v>
      </c>
      <c r="D225" s="363">
        <v>1.398</v>
      </c>
      <c r="E225" s="352" t="s">
        <v>2978</v>
      </c>
      <c r="F225" s="352" t="s">
        <v>2979</v>
      </c>
      <c r="G225" s="583" t="s">
        <v>2979</v>
      </c>
      <c r="H225" s="564" t="s">
        <v>2980</v>
      </c>
      <c r="I225" s="379">
        <f t="shared" si="7"/>
        <v>1.398</v>
      </c>
      <c r="J225" s="568" t="str">
        <f>J221</f>
        <v>60 % to the oil</v>
      </c>
      <c r="K225" s="569">
        <f>2.7738*0.6</f>
        <v>1.66428</v>
      </c>
      <c r="L225" s="569">
        <f>60.2551*0.6</f>
        <v>36.153059999999996</v>
      </c>
      <c r="M225" s="569">
        <f>19.3416*0.6</f>
        <v>11.60496</v>
      </c>
      <c r="N225" s="355"/>
      <c r="O225" s="355"/>
      <c r="P225" s="545"/>
      <c r="Q225" s="363"/>
      <c r="R225" s="545"/>
      <c r="S225" s="348"/>
      <c r="T225" s="348"/>
      <c r="U225" s="348"/>
      <c r="V225" s="348"/>
      <c r="W225" s="348"/>
      <c r="X225" s="546"/>
      <c r="Y225" s="454"/>
      <c r="Z225" s="454"/>
      <c r="AA225" s="454"/>
    </row>
    <row r="226" spans="1:27" s="452" customFormat="1" ht="15">
      <c r="A226" s="352" t="s">
        <v>2981</v>
      </c>
      <c r="B226" s="380">
        <f>(800*10.85)/1000</f>
        <v>8.68</v>
      </c>
      <c r="C226" s="380">
        <f>((B226*('[2]KPI , PPI'!D$29/'[2]KPI , PPI'!E$29))*('[2]KPI , PPI'!C$29/'[2]KPI , PPI'!D$29))*('[2]KPI , PPI'!B$29/'[2]KPI , PPI'!C$29)</f>
        <v>8.061677186654645</v>
      </c>
      <c r="D226" s="363">
        <v>2</v>
      </c>
      <c r="E226" s="352" t="s">
        <v>2956</v>
      </c>
      <c r="F226" s="352" t="s">
        <v>2081</v>
      </c>
      <c r="G226" s="583" t="s">
        <v>2081</v>
      </c>
      <c r="H226" s="564" t="s">
        <v>2982</v>
      </c>
      <c r="I226" s="379"/>
      <c r="J226" s="568" t="s">
        <v>2955</v>
      </c>
      <c r="K226" s="569">
        <v>1.8919</v>
      </c>
      <c r="L226" s="569">
        <v>2.96</v>
      </c>
      <c r="M226" s="569">
        <v>1.9967</v>
      </c>
      <c r="N226" s="355"/>
      <c r="O226" s="355"/>
      <c r="P226" s="545"/>
      <c r="Q226" s="363"/>
      <c r="R226" s="545"/>
      <c r="S226" s="348"/>
      <c r="T226" s="348"/>
      <c r="U226" s="348"/>
      <c r="V226" s="348"/>
      <c r="W226" s="348"/>
      <c r="X226" s="546"/>
      <c r="Y226" s="454"/>
      <c r="Z226" s="454"/>
      <c r="AA226" s="454"/>
    </row>
    <row r="227" spans="1:27" s="452" customFormat="1" ht="15">
      <c r="A227" s="352" t="s">
        <v>2983</v>
      </c>
      <c r="B227" s="380">
        <f>(10*10.85)/13.2</f>
        <v>8.21969696969697</v>
      </c>
      <c r="C227" s="380">
        <f>((B227*('[2]KPI , PPI'!D$32/'[2]KPI , PPI'!E$32))*('[2]KPI , PPI'!C$32/'[2]KPI , PPI'!D$32))*('[2]KPI , PPI'!B$32/'[2]KPI , PPI'!C$32)</f>
        <v>7.86279265977642</v>
      </c>
      <c r="D227" s="363">
        <v>4.3</v>
      </c>
      <c r="E227" s="352" t="s">
        <v>2825</v>
      </c>
      <c r="F227" s="352" t="s">
        <v>1756</v>
      </c>
      <c r="G227" s="583" t="s">
        <v>1756</v>
      </c>
      <c r="H227" s="564" t="s">
        <v>2984</v>
      </c>
      <c r="I227" s="379">
        <f t="shared" si="7"/>
        <v>4.3</v>
      </c>
      <c r="J227" s="568" t="s">
        <v>2955</v>
      </c>
      <c r="K227" s="569">
        <v>2.5895</v>
      </c>
      <c r="L227" s="569">
        <v>132</v>
      </c>
      <c r="M227" s="569">
        <v>0.3571</v>
      </c>
      <c r="N227" s="355"/>
      <c r="O227" s="355"/>
      <c r="P227" s="545"/>
      <c r="Q227" s="363"/>
      <c r="R227" s="545"/>
      <c r="S227" s="348"/>
      <c r="T227" s="348"/>
      <c r="U227" s="348"/>
      <c r="V227" s="348"/>
      <c r="W227" s="348"/>
      <c r="X227" s="546"/>
      <c r="Y227" s="454"/>
      <c r="Z227" s="454"/>
      <c r="AA227" s="454"/>
    </row>
    <row r="228" spans="1:27" s="452" customFormat="1" ht="15">
      <c r="A228" s="352" t="s">
        <v>2985</v>
      </c>
      <c r="B228" s="380">
        <f>(1200*10.85)/1000</f>
        <v>13.02</v>
      </c>
      <c r="C228" s="380">
        <f>((B228*('[2]KPI , PPI'!D$29/'[2]KPI , PPI'!E$29))*('[2]KPI , PPI'!C$29/'[2]KPI , PPI'!D$29))*('[2]KPI , PPI'!B$29/'[2]KPI , PPI'!C$29)</f>
        <v>12.092515779981968</v>
      </c>
      <c r="D228" s="363">
        <v>5</v>
      </c>
      <c r="E228" s="352" t="s">
        <v>1835</v>
      </c>
      <c r="F228" s="352" t="s">
        <v>2439</v>
      </c>
      <c r="G228" s="352" t="s">
        <v>2439</v>
      </c>
      <c r="H228" s="564" t="s">
        <v>2986</v>
      </c>
      <c r="I228" s="379">
        <f t="shared" si="7"/>
        <v>5</v>
      </c>
      <c r="J228" s="568" t="s">
        <v>2955</v>
      </c>
      <c r="K228" s="569">
        <v>1.7573</v>
      </c>
      <c r="L228" s="569">
        <v>93.1488</v>
      </c>
      <c r="M228" s="569">
        <v>1.3605</v>
      </c>
      <c r="N228" s="355"/>
      <c r="O228" s="355"/>
      <c r="P228" s="545"/>
      <c r="Q228" s="363"/>
      <c r="R228" s="545"/>
      <c r="S228" s="348"/>
      <c r="T228" s="348"/>
      <c r="U228" s="348"/>
      <c r="V228" s="348"/>
      <c r="W228" s="348"/>
      <c r="X228" s="546"/>
      <c r="Y228" s="454"/>
      <c r="Z228" s="454"/>
      <c r="AA228" s="454"/>
    </row>
    <row r="229" spans="1:27" s="452" customFormat="1" ht="15">
      <c r="A229" s="352" t="s">
        <v>2987</v>
      </c>
      <c r="B229" s="380">
        <f>2200*10/1000</f>
        <v>22</v>
      </c>
      <c r="C229" s="380">
        <f>((B229*('[2]KPI , PPI'!D$29/'[2]KPI , PPI'!E$29))*('[2]KPI , PPI'!C$29/'[2]KPI , PPI'!D$29))*('[2]KPI , PPI'!B$29/'[2]KPI , PPI'!C$29)</f>
        <v>20.432822362488736</v>
      </c>
      <c r="D229" s="363">
        <f>2.2/0.2</f>
        <v>11</v>
      </c>
      <c r="E229" s="352" t="s">
        <v>2988</v>
      </c>
      <c r="F229" s="352" t="s">
        <v>2795</v>
      </c>
      <c r="G229" s="583" t="s">
        <v>2795</v>
      </c>
      <c r="H229" s="564" t="s">
        <v>2989</v>
      </c>
      <c r="I229" s="379">
        <f t="shared" si="7"/>
        <v>11</v>
      </c>
      <c r="J229" s="568" t="s">
        <v>2955</v>
      </c>
      <c r="K229" s="569">
        <v>3.91</v>
      </c>
      <c r="L229" s="569">
        <v>635.6714</v>
      </c>
      <c r="M229" s="569">
        <v>3.3555</v>
      </c>
      <c r="N229" s="355"/>
      <c r="O229" s="355"/>
      <c r="P229" s="545"/>
      <c r="Q229" s="363"/>
      <c r="R229" s="545"/>
      <c r="S229" s="348"/>
      <c r="T229" s="348"/>
      <c r="U229" s="348"/>
      <c r="V229" s="348"/>
      <c r="W229" s="348"/>
      <c r="X229" s="546"/>
      <c r="Y229" s="454"/>
      <c r="Z229" s="454"/>
      <c r="AA229" s="454"/>
    </row>
    <row r="230" spans="1:27" s="452" customFormat="1" ht="15">
      <c r="A230" s="352" t="s">
        <v>2990</v>
      </c>
      <c r="B230" s="380">
        <f>(1250*10.85)/1000</f>
        <v>13.5625</v>
      </c>
      <c r="C230" s="380">
        <f>((B230*('[2]KPI , PPI'!D$28/'[2]KPI , PPI'!E$28))*('[2]KPI , PPI'!C$28/'[2]KPI , PPI'!D$28))*('[2]KPI , PPI'!B$28/'[2]KPI , PPI'!C$28)</f>
        <v>11.793977561388655</v>
      </c>
      <c r="D230" s="363">
        <v>2</v>
      </c>
      <c r="E230" s="352" t="s">
        <v>2991</v>
      </c>
      <c r="F230" s="352" t="s">
        <v>2192</v>
      </c>
      <c r="G230" s="583" t="s">
        <v>2992</v>
      </c>
      <c r="H230" s="564" t="s">
        <v>2993</v>
      </c>
      <c r="I230" s="379">
        <f t="shared" si="7"/>
        <v>2</v>
      </c>
      <c r="J230" s="568" t="s">
        <v>2955</v>
      </c>
      <c r="K230" s="569">
        <v>1.8515</v>
      </c>
      <c r="L230" s="569">
        <v>918.7875</v>
      </c>
      <c r="M230" s="569">
        <v>7.3552</v>
      </c>
      <c r="N230" s="355"/>
      <c r="O230" s="355"/>
      <c r="P230" s="545"/>
      <c r="Q230" s="363"/>
      <c r="R230" s="545"/>
      <c r="S230" s="348"/>
      <c r="T230" s="348"/>
      <c r="U230" s="348"/>
      <c r="V230" s="348"/>
      <c r="W230" s="348"/>
      <c r="X230" s="546"/>
      <c r="Y230" s="454"/>
      <c r="Z230" s="454"/>
      <c r="AA230" s="454"/>
    </row>
    <row r="231" spans="1:27" s="452" customFormat="1" ht="15">
      <c r="A231" s="352" t="s">
        <v>2994</v>
      </c>
      <c r="B231" s="380">
        <f>((3.5+5)/2)*10.85</f>
        <v>46.1125</v>
      </c>
      <c r="C231" s="380">
        <f>((B231*('[2]KPI , PPI'!D$28/'[2]KPI , PPI'!E$28))*('[2]KPI , PPI'!C$28/'[2]KPI , PPI'!D$28))*('[2]KPI , PPI'!B$28/'[2]KPI , PPI'!C$28)</f>
        <v>40.099523708721414</v>
      </c>
      <c r="D231" s="380">
        <f>0.75/0.21</f>
        <v>3.5714285714285716</v>
      </c>
      <c r="E231" s="352" t="s">
        <v>2995</v>
      </c>
      <c r="F231" s="352" t="s">
        <v>2439</v>
      </c>
      <c r="G231" s="352" t="s">
        <v>2439</v>
      </c>
      <c r="H231" s="564" t="s">
        <v>2996</v>
      </c>
      <c r="I231" s="379">
        <f>D231</f>
        <v>3.5714285714285716</v>
      </c>
      <c r="J231" s="568" t="s">
        <v>2955</v>
      </c>
      <c r="K231" s="569">
        <v>3.2433</v>
      </c>
      <c r="L231" s="569">
        <v>71.1242</v>
      </c>
      <c r="M231" s="569">
        <v>10.5443</v>
      </c>
      <c r="N231" s="355"/>
      <c r="O231" s="355"/>
      <c r="P231" s="545"/>
      <c r="Q231" s="363"/>
      <c r="R231" s="545"/>
      <c r="S231" s="348"/>
      <c r="T231" s="348"/>
      <c r="U231" s="348"/>
      <c r="V231" s="348"/>
      <c r="W231" s="348"/>
      <c r="X231" s="546"/>
      <c r="Y231" s="454"/>
      <c r="Z231" s="454"/>
      <c r="AA231" s="454"/>
    </row>
    <row r="232" spans="1:27" s="452" customFormat="1" ht="15">
      <c r="A232" s="352" t="s">
        <v>2997</v>
      </c>
      <c r="B232" s="352" t="s">
        <v>413</v>
      </c>
      <c r="C232" s="576">
        <f>(7760*8.39)/1000</f>
        <v>65.10640000000001</v>
      </c>
      <c r="D232" s="363">
        <v>1</v>
      </c>
      <c r="E232" s="352" t="s">
        <v>2998</v>
      </c>
      <c r="F232" s="352" t="s">
        <v>2999</v>
      </c>
      <c r="G232" s="545" t="s">
        <v>2992</v>
      </c>
      <c r="H232" s="564" t="s">
        <v>3000</v>
      </c>
      <c r="I232" s="545">
        <f>D232</f>
        <v>1</v>
      </c>
      <c r="J232" s="568" t="s">
        <v>2955</v>
      </c>
      <c r="K232" s="569">
        <v>13.7408</v>
      </c>
      <c r="L232" s="569">
        <v>782.93</v>
      </c>
      <c r="M232" s="569">
        <v>16.6643</v>
      </c>
      <c r="N232" s="355"/>
      <c r="O232" s="355"/>
      <c r="P232" s="545"/>
      <c r="Q232" s="363"/>
      <c r="R232" s="545"/>
      <c r="S232" s="348"/>
      <c r="T232" s="348"/>
      <c r="U232" s="348"/>
      <c r="V232" s="348"/>
      <c r="W232" s="348"/>
      <c r="X232" s="546"/>
      <c r="Y232" s="454"/>
      <c r="Z232" s="454"/>
      <c r="AA232" s="454"/>
    </row>
    <row r="233" spans="1:27" s="456" customFormat="1" ht="15">
      <c r="A233" s="415" t="s">
        <v>3001</v>
      </c>
      <c r="B233" s="457">
        <v>13.4102</v>
      </c>
      <c r="C233" s="457">
        <v>12.229465690030802</v>
      </c>
      <c r="D233" s="415">
        <v>4.7</v>
      </c>
      <c r="E233" s="415" t="s">
        <v>3002</v>
      </c>
      <c r="F233" s="415" t="s">
        <v>2086</v>
      </c>
      <c r="G233" s="421" t="s">
        <v>2992</v>
      </c>
      <c r="H233" s="584" t="s">
        <v>3003</v>
      </c>
      <c r="I233" s="421">
        <f>D233</f>
        <v>4.7</v>
      </c>
      <c r="J233" s="585" t="s">
        <v>2955</v>
      </c>
      <c r="K233" s="421">
        <v>2.9957</v>
      </c>
      <c r="L233" s="421">
        <v>8.0867</v>
      </c>
      <c r="M233" s="421">
        <v>9.0431</v>
      </c>
      <c r="N233" s="417"/>
      <c r="O233" s="417"/>
      <c r="P233" s="421"/>
      <c r="Q233" s="421"/>
      <c r="R233" s="421"/>
      <c r="S233" s="348"/>
      <c r="T233" s="348"/>
      <c r="U233" s="348"/>
      <c r="V233" s="348"/>
      <c r="W233" s="348"/>
      <c r="X233" s="546"/>
      <c r="Y233" s="453"/>
      <c r="Z233" s="453"/>
      <c r="AA233" s="453"/>
    </row>
    <row r="234" spans="1:27" s="452" customFormat="1" ht="15">
      <c r="A234" s="352" t="s">
        <v>3004</v>
      </c>
      <c r="B234" s="357">
        <f>338*F250</f>
        <v>243.3755760368663</v>
      </c>
      <c r="C234" s="357">
        <f>((B234*('[2]KPI , PPI'!D$29/'[2]KPI , PPI'!E$29))*('[2]KPI , PPI'!C$29/'[2]KPI , PPI'!D$29))*('[2]KPI , PPI'!B$29/'[2]KPI , PPI'!C$29)</f>
        <v>226.03863238771177</v>
      </c>
      <c r="D234" s="380">
        <v>1</v>
      </c>
      <c r="E234" s="352" t="s">
        <v>3005</v>
      </c>
      <c r="F234" s="352" t="s">
        <v>1751</v>
      </c>
      <c r="G234" s="355" t="s">
        <v>1751</v>
      </c>
      <c r="H234" s="380" t="s">
        <v>3006</v>
      </c>
      <c r="I234" s="355">
        <v>1</v>
      </c>
      <c r="J234" s="586" t="s">
        <v>2955</v>
      </c>
      <c r="K234" s="545"/>
      <c r="L234" s="545"/>
      <c r="M234" s="545"/>
      <c r="N234" s="355"/>
      <c r="O234" s="355"/>
      <c r="P234" s="545"/>
      <c r="Q234" s="363"/>
      <c r="R234" s="545"/>
      <c r="S234" s="348"/>
      <c r="T234" s="348"/>
      <c r="U234" s="348"/>
      <c r="V234" s="348"/>
      <c r="W234" s="348"/>
      <c r="X234" s="546"/>
      <c r="Y234" s="454"/>
      <c r="Z234" s="454"/>
      <c r="AA234" s="454"/>
    </row>
    <row r="235" spans="1:27" s="467" customFormat="1" ht="15">
      <c r="A235" s="384"/>
      <c r="B235" s="384"/>
      <c r="C235" s="384"/>
      <c r="D235" s="577"/>
      <c r="E235" s="384"/>
      <c r="F235" s="384"/>
      <c r="G235" s="387"/>
      <c r="H235" s="549"/>
      <c r="I235" s="387"/>
      <c r="J235" s="550"/>
      <c r="K235" s="551"/>
      <c r="L235" s="551"/>
      <c r="M235" s="551"/>
      <c r="N235" s="387"/>
      <c r="O235" s="387"/>
      <c r="P235" s="551"/>
      <c r="Q235" s="394"/>
      <c r="R235" s="551"/>
      <c r="S235" s="395"/>
      <c r="T235" s="395"/>
      <c r="U235" s="395"/>
      <c r="V235" s="395"/>
      <c r="W235" s="395"/>
      <c r="X235" s="622"/>
      <c r="Y235" s="468"/>
      <c r="Z235" s="468"/>
      <c r="AA235" s="468"/>
    </row>
    <row r="236" spans="1:27" s="467" customFormat="1" ht="15">
      <c r="A236" s="384"/>
      <c r="B236" s="384"/>
      <c r="C236" s="384"/>
      <c r="D236" s="577"/>
      <c r="E236" s="384"/>
      <c r="F236" s="384"/>
      <c r="G236" s="387"/>
      <c r="H236" s="549"/>
      <c r="I236" s="387"/>
      <c r="J236" s="550"/>
      <c r="K236" s="551"/>
      <c r="L236" s="551"/>
      <c r="M236" s="551"/>
      <c r="N236" s="387"/>
      <c r="O236" s="387"/>
      <c r="P236" s="551"/>
      <c r="Q236" s="394"/>
      <c r="R236" s="551"/>
      <c r="S236" s="395"/>
      <c r="T236" s="395"/>
      <c r="U236" s="395"/>
      <c r="V236" s="395"/>
      <c r="W236" s="395"/>
      <c r="X236" s="622"/>
      <c r="Y236" s="468"/>
      <c r="Z236" s="468"/>
      <c r="AA236" s="468"/>
    </row>
    <row r="237" spans="1:27" s="467" customFormat="1" ht="15">
      <c r="A237" s="384"/>
      <c r="B237" s="384"/>
      <c r="C237" s="384"/>
      <c r="D237" s="577"/>
      <c r="E237" s="384"/>
      <c r="F237" s="384"/>
      <c r="G237" s="387"/>
      <c r="H237" s="549"/>
      <c r="I237" s="387"/>
      <c r="J237" s="550"/>
      <c r="K237" s="551"/>
      <c r="L237" s="551"/>
      <c r="M237" s="551"/>
      <c r="N237" s="387"/>
      <c r="O237" s="387"/>
      <c r="P237" s="551"/>
      <c r="Q237" s="394"/>
      <c r="R237" s="551"/>
      <c r="S237" s="395"/>
      <c r="T237" s="395"/>
      <c r="U237" s="395"/>
      <c r="V237" s="395"/>
      <c r="W237" s="395"/>
      <c r="X237" s="622"/>
      <c r="Y237" s="468"/>
      <c r="Z237" s="468"/>
      <c r="AA237" s="468"/>
    </row>
    <row r="238" spans="1:27" s="467" customFormat="1" ht="15">
      <c r="A238" s="384"/>
      <c r="B238" s="384"/>
      <c r="C238" s="384"/>
      <c r="D238" s="577"/>
      <c r="E238" s="384"/>
      <c r="F238" s="384"/>
      <c r="G238" s="387"/>
      <c r="H238" s="549"/>
      <c r="I238" s="387"/>
      <c r="J238" s="550"/>
      <c r="K238" s="551"/>
      <c r="L238" s="551"/>
      <c r="M238" s="551"/>
      <c r="N238" s="387"/>
      <c r="O238" s="387"/>
      <c r="P238" s="551"/>
      <c r="Q238" s="394"/>
      <c r="R238" s="551"/>
      <c r="S238" s="395"/>
      <c r="T238" s="395"/>
      <c r="U238" s="395"/>
      <c r="V238" s="395"/>
      <c r="W238" s="395"/>
      <c r="X238" s="622"/>
      <c r="Y238" s="468"/>
      <c r="Z238" s="468"/>
      <c r="AA238" s="468"/>
    </row>
    <row r="239" spans="1:27" s="467" customFormat="1" ht="15">
      <c r="A239" s="384"/>
      <c r="B239" s="384"/>
      <c r="C239" s="384">
        <v>75</v>
      </c>
      <c r="D239" s="384">
        <v>0.13684</v>
      </c>
      <c r="E239" s="384">
        <f>C239*D239</f>
        <v>10.263</v>
      </c>
      <c r="F239" s="384"/>
      <c r="G239" s="387"/>
      <c r="H239" s="549"/>
      <c r="I239" s="387"/>
      <c r="J239" s="550"/>
      <c r="K239" s="551"/>
      <c r="L239" s="551"/>
      <c r="M239" s="551"/>
      <c r="N239" s="387"/>
      <c r="O239" s="387"/>
      <c r="P239" s="551"/>
      <c r="Q239" s="394"/>
      <c r="R239" s="551"/>
      <c r="S239" s="395"/>
      <c r="T239" s="395"/>
      <c r="U239" s="395"/>
      <c r="V239" s="395"/>
      <c r="W239" s="395"/>
      <c r="X239" s="622"/>
      <c r="Y239" s="468"/>
      <c r="Z239" s="468"/>
      <c r="AA239" s="468"/>
    </row>
    <row r="240" spans="1:27" s="467" customFormat="1" ht="15">
      <c r="A240" s="384"/>
      <c r="B240" s="384"/>
      <c r="C240" s="384"/>
      <c r="D240" s="384"/>
      <c r="E240" s="384"/>
      <c r="F240" s="384"/>
      <c r="G240" s="387"/>
      <c r="H240" s="549"/>
      <c r="I240" s="387"/>
      <c r="J240" s="550"/>
      <c r="K240" s="551"/>
      <c r="L240" s="551"/>
      <c r="M240" s="551"/>
      <c r="N240" s="387"/>
      <c r="O240" s="387"/>
      <c r="P240" s="551"/>
      <c r="Q240" s="394"/>
      <c r="R240" s="551"/>
      <c r="S240" s="395"/>
      <c r="T240" s="395"/>
      <c r="U240" s="395"/>
      <c r="V240" s="395"/>
      <c r="W240" s="395"/>
      <c r="X240" s="622"/>
      <c r="Y240" s="468"/>
      <c r="Z240" s="468"/>
      <c r="AA240" s="468"/>
    </row>
    <row r="241" spans="1:27" s="467" customFormat="1" ht="15">
      <c r="A241" s="384"/>
      <c r="B241" s="384"/>
      <c r="C241" s="384" t="s">
        <v>3007</v>
      </c>
      <c r="D241" s="384"/>
      <c r="E241" s="384"/>
      <c r="F241" s="384"/>
      <c r="G241" s="387"/>
      <c r="H241" s="549"/>
      <c r="I241" s="387"/>
      <c r="J241" s="550"/>
      <c r="K241" s="551"/>
      <c r="L241" s="551"/>
      <c r="M241" s="551"/>
      <c r="N241" s="387"/>
      <c r="O241" s="387"/>
      <c r="P241" s="551"/>
      <c r="Q241" s="394"/>
      <c r="R241" s="551"/>
      <c r="S241" s="395"/>
      <c r="T241" s="395"/>
      <c r="U241" s="395"/>
      <c r="V241" s="395"/>
      <c r="W241" s="395"/>
      <c r="X241" s="622"/>
      <c r="Y241" s="468"/>
      <c r="Z241" s="468"/>
      <c r="AA241" s="468"/>
    </row>
    <row r="242" spans="1:27" s="467" customFormat="1" ht="15">
      <c r="A242" s="384"/>
      <c r="B242" s="384"/>
      <c r="C242" s="384"/>
      <c r="D242" s="384"/>
      <c r="E242" s="384"/>
      <c r="F242" s="384"/>
      <c r="G242" s="387"/>
      <c r="H242" s="549"/>
      <c r="I242" s="387"/>
      <c r="J242" s="550"/>
      <c r="K242" s="551"/>
      <c r="L242" s="551"/>
      <c r="M242" s="551"/>
      <c r="N242" s="387"/>
      <c r="O242" s="387"/>
      <c r="P242" s="551"/>
      <c r="Q242" s="394"/>
      <c r="R242" s="551"/>
      <c r="S242" s="395"/>
      <c r="T242" s="395"/>
      <c r="U242" s="395"/>
      <c r="V242" s="395"/>
      <c r="W242" s="395"/>
      <c r="X242" s="622"/>
      <c r="Y242" s="468"/>
      <c r="Z242" s="468"/>
      <c r="AA242" s="468"/>
    </row>
    <row r="243" spans="1:27" s="467" customFormat="1" ht="15">
      <c r="A243" s="384"/>
      <c r="B243" s="384"/>
      <c r="C243" s="384"/>
      <c r="D243" s="384"/>
      <c r="E243" s="384"/>
      <c r="F243" s="384"/>
      <c r="G243" s="387"/>
      <c r="H243" s="549"/>
      <c r="I243" s="387"/>
      <c r="J243" s="587"/>
      <c r="K243" s="551"/>
      <c r="L243" s="551"/>
      <c r="M243" s="551"/>
      <c r="N243" s="387"/>
      <c r="O243" s="387"/>
      <c r="P243" s="551"/>
      <c r="Q243" s="394"/>
      <c r="R243" s="551"/>
      <c r="S243" s="395"/>
      <c r="T243" s="395"/>
      <c r="U243" s="395"/>
      <c r="V243" s="395"/>
      <c r="W243" s="395"/>
      <c r="X243" s="622"/>
      <c r="Y243" s="468"/>
      <c r="Z243" s="468"/>
      <c r="AA243" s="468"/>
    </row>
    <row r="244" spans="1:27" s="467" customFormat="1" ht="15">
      <c r="A244" s="384"/>
      <c r="B244" s="384"/>
      <c r="C244" s="384"/>
      <c r="D244" s="384"/>
      <c r="E244" s="384"/>
      <c r="F244" s="384"/>
      <c r="G244" s="387"/>
      <c r="H244" s="549"/>
      <c r="I244" s="387"/>
      <c r="J244" s="550"/>
      <c r="K244" s="551"/>
      <c r="L244" s="551"/>
      <c r="M244" s="551"/>
      <c r="N244" s="387"/>
      <c r="O244" s="387"/>
      <c r="P244" s="551"/>
      <c r="Q244" s="394"/>
      <c r="R244" s="551"/>
      <c r="S244" s="395"/>
      <c r="T244" s="395"/>
      <c r="U244" s="395"/>
      <c r="V244" s="395"/>
      <c r="W244" s="395"/>
      <c r="X244" s="622"/>
      <c r="Y244" s="468"/>
      <c r="Z244" s="468"/>
      <c r="AA244" s="468"/>
    </row>
    <row r="245" spans="1:27" s="467" customFormat="1" ht="15">
      <c r="A245" s="384"/>
      <c r="B245" s="384"/>
      <c r="C245" s="384"/>
      <c r="D245" s="384"/>
      <c r="E245" s="384"/>
      <c r="F245" s="384"/>
      <c r="G245" s="387"/>
      <c r="H245" s="549"/>
      <c r="I245" s="387"/>
      <c r="J245" s="550"/>
      <c r="K245" s="551"/>
      <c r="L245" s="551"/>
      <c r="M245" s="551"/>
      <c r="N245" s="387"/>
      <c r="O245" s="387"/>
      <c r="P245" s="551"/>
      <c r="Q245" s="394"/>
      <c r="R245" s="551"/>
      <c r="S245" s="395"/>
      <c r="T245" s="395"/>
      <c r="U245" s="395"/>
      <c r="V245" s="395"/>
      <c r="W245" s="395"/>
      <c r="X245" s="622"/>
      <c r="Y245" s="468"/>
      <c r="Z245" s="468"/>
      <c r="AA245" s="468"/>
    </row>
    <row r="246" spans="1:27" s="303" customFormat="1" ht="15">
      <c r="A246" s="588" t="s">
        <v>2116</v>
      </c>
      <c r="B246" s="588"/>
      <c r="C246" s="588" t="s">
        <v>2118</v>
      </c>
      <c r="D246" s="589"/>
      <c r="E246" s="590" t="s">
        <v>3008</v>
      </c>
      <c r="F246" s="590"/>
      <c r="G246" s="591"/>
      <c r="H246" s="389"/>
      <c r="I246" s="388"/>
      <c r="J246" s="391"/>
      <c r="K246" s="392"/>
      <c r="L246" s="392"/>
      <c r="M246" s="392"/>
      <c r="N246" s="388"/>
      <c r="O246" s="388"/>
      <c r="P246" s="392"/>
      <c r="Q246" s="394"/>
      <c r="R246" s="392"/>
      <c r="S246" s="395"/>
      <c r="T246" s="396"/>
      <c r="U246" s="396"/>
      <c r="V246" s="396"/>
      <c r="W246" s="396"/>
      <c r="X246" s="397"/>
      <c r="Y246" s="339"/>
      <c r="Z246" s="339"/>
      <c r="AA246" s="339"/>
    </row>
    <row r="247" spans="1:27" s="303" customFormat="1" ht="14.25">
      <c r="A247" s="592" t="s">
        <v>2104</v>
      </c>
      <c r="B247" s="593"/>
      <c r="C247" s="594"/>
      <c r="D247" s="384"/>
      <c r="E247" s="595" t="s">
        <v>3009</v>
      </c>
      <c r="F247" s="595" t="s">
        <v>3010</v>
      </c>
      <c r="G247" s="596"/>
      <c r="H247" s="549"/>
      <c r="I247" s="387"/>
      <c r="J247" s="550"/>
      <c r="K247" s="551"/>
      <c r="L247" s="551"/>
      <c r="M247" s="551"/>
      <c r="N247" s="387"/>
      <c r="O247" s="387"/>
      <c r="P247" s="551"/>
      <c r="Q247" s="394"/>
      <c r="R247" s="551"/>
      <c r="S247" s="395"/>
      <c r="T247" s="395"/>
      <c r="U247" s="395"/>
      <c r="V247" s="395"/>
      <c r="W247" s="395"/>
      <c r="X247" s="622"/>
      <c r="Y247" s="458"/>
      <c r="Z247" s="458"/>
      <c r="AA247" s="458"/>
    </row>
    <row r="248" spans="1:27" s="303" customFormat="1" ht="14.25">
      <c r="A248" s="592" t="s">
        <v>2105</v>
      </c>
      <c r="B248" s="592">
        <v>535.02</v>
      </c>
      <c r="C248" s="594"/>
      <c r="D248" s="384"/>
      <c r="E248" s="595">
        <v>24</v>
      </c>
      <c r="F248" s="595">
        <v>12</v>
      </c>
      <c r="G248" s="597"/>
      <c r="H248" s="389"/>
      <c r="I248" s="388"/>
      <c r="J248" s="391"/>
      <c r="K248" s="392"/>
      <c r="L248" s="392"/>
      <c r="M248" s="392"/>
      <c r="N248" s="388"/>
      <c r="O248" s="388"/>
      <c r="P248" s="392"/>
      <c r="Q248" s="394"/>
      <c r="R248" s="392"/>
      <c r="S248" s="395"/>
      <c r="T248" s="396"/>
      <c r="U248" s="396"/>
      <c r="V248" s="396"/>
      <c r="W248" s="396"/>
      <c r="X248" s="397"/>
      <c r="Y248" s="339"/>
      <c r="Z248" s="339"/>
      <c r="AA248" s="339"/>
    </row>
    <row r="249" spans="1:27" s="303" customFormat="1" ht="14.25">
      <c r="A249" s="592" t="s">
        <v>2106</v>
      </c>
      <c r="B249" s="592">
        <v>539.1</v>
      </c>
      <c r="C249" s="594"/>
      <c r="D249" s="384"/>
      <c r="E249" s="595"/>
      <c r="F249" s="595" t="s">
        <v>3011</v>
      </c>
      <c r="G249" s="596"/>
      <c r="H249" s="549"/>
      <c r="I249" s="387"/>
      <c r="J249" s="550"/>
      <c r="K249" s="551"/>
      <c r="L249" s="551"/>
      <c r="M249" s="551"/>
      <c r="N249" s="387"/>
      <c r="O249" s="387"/>
      <c r="P249" s="551"/>
      <c r="Q249" s="394"/>
      <c r="R249" s="551"/>
      <c r="S249" s="395"/>
      <c r="T249" s="395"/>
      <c r="U249" s="395"/>
      <c r="V249" s="395"/>
      <c r="W249" s="395"/>
      <c r="X249" s="622"/>
      <c r="Y249" s="458"/>
      <c r="Z249" s="458"/>
      <c r="AA249" s="458"/>
    </row>
    <row r="250" spans="1:27" s="303" customFormat="1" ht="14.25">
      <c r="A250" s="592" t="s">
        <v>2107</v>
      </c>
      <c r="B250" s="592">
        <v>590.32</v>
      </c>
      <c r="C250" s="594"/>
      <c r="D250" s="384"/>
      <c r="E250" s="595">
        <f>100*1.24*1.12</f>
        <v>138.88000000000002</v>
      </c>
      <c r="F250" s="598">
        <f>100/E250</f>
        <v>0.7200460829493086</v>
      </c>
      <c r="G250" s="597"/>
      <c r="H250" s="389"/>
      <c r="I250" s="388"/>
      <c r="J250" s="391"/>
      <c r="K250" s="392"/>
      <c r="L250" s="392"/>
      <c r="M250" s="392"/>
      <c r="N250" s="388"/>
      <c r="O250" s="388"/>
      <c r="P250" s="392"/>
      <c r="Q250" s="394"/>
      <c r="R250" s="392"/>
      <c r="S250" s="395"/>
      <c r="T250" s="396"/>
      <c r="U250" s="396"/>
      <c r="V250" s="396"/>
      <c r="W250" s="396"/>
      <c r="X250" s="397"/>
      <c r="Y250" s="339"/>
      <c r="Z250" s="339"/>
      <c r="AA250" s="339"/>
    </row>
    <row r="251" spans="1:27" s="303" customFormat="1" ht="14.25">
      <c r="A251" s="592" t="s">
        <v>2108</v>
      </c>
      <c r="B251" s="592">
        <v>605.15</v>
      </c>
      <c r="C251" s="594"/>
      <c r="D251" s="384"/>
      <c r="E251" s="384"/>
      <c r="F251" s="384"/>
      <c r="G251" s="387"/>
      <c r="H251" s="549"/>
      <c r="I251" s="387"/>
      <c r="J251" s="550"/>
      <c r="K251" s="551"/>
      <c r="L251" s="551"/>
      <c r="M251" s="551"/>
      <c r="N251" s="387"/>
      <c r="O251" s="387"/>
      <c r="P251" s="551"/>
      <c r="Q251" s="394"/>
      <c r="R251" s="551"/>
      <c r="S251" s="395"/>
      <c r="T251" s="395"/>
      <c r="U251" s="395"/>
      <c r="V251" s="395"/>
      <c r="W251" s="395"/>
      <c r="X251" s="622"/>
      <c r="Y251" s="458"/>
      <c r="Z251" s="458"/>
      <c r="AA251" s="458"/>
    </row>
    <row r="252" spans="1:27" s="303" customFormat="1" ht="14.25">
      <c r="A252" s="592" t="s">
        <v>2109</v>
      </c>
      <c r="B252" s="592">
        <v>614.1</v>
      </c>
      <c r="C252" s="594"/>
      <c r="D252" s="384"/>
      <c r="E252" s="384"/>
      <c r="F252" s="384"/>
      <c r="G252" s="388"/>
      <c r="H252" s="389"/>
      <c r="I252" s="388"/>
      <c r="J252" s="391"/>
      <c r="K252" s="392"/>
      <c r="L252" s="392"/>
      <c r="M252" s="392"/>
      <c r="N252" s="388"/>
      <c r="O252" s="388"/>
      <c r="P252" s="392"/>
      <c r="Q252" s="394"/>
      <c r="R252" s="392"/>
      <c r="S252" s="395"/>
      <c r="T252" s="396"/>
      <c r="U252" s="396"/>
      <c r="V252" s="396"/>
      <c r="W252" s="396"/>
      <c r="X252" s="397"/>
      <c r="Y252" s="339"/>
      <c r="Z252" s="339"/>
      <c r="AA252" s="339"/>
    </row>
    <row r="253" spans="1:27" s="303" customFormat="1" ht="14.25">
      <c r="A253" s="592" t="s">
        <v>2110</v>
      </c>
      <c r="B253" s="592">
        <v>616.14</v>
      </c>
      <c r="C253" s="594"/>
      <c r="D253" s="384"/>
      <c r="E253" s="384"/>
      <c r="F253" s="384"/>
      <c r="G253" s="387"/>
      <c r="H253" s="549"/>
      <c r="I253" s="387"/>
      <c r="J253" s="550"/>
      <c r="K253" s="551"/>
      <c r="L253" s="551"/>
      <c r="M253" s="551"/>
      <c r="N253" s="387"/>
      <c r="O253" s="387"/>
      <c r="P253" s="551"/>
      <c r="Q253" s="394"/>
      <c r="R253" s="551"/>
      <c r="S253" s="395"/>
      <c r="T253" s="395"/>
      <c r="U253" s="395"/>
      <c r="V253" s="395"/>
      <c r="W253" s="395"/>
      <c r="X253" s="622"/>
      <c r="Y253" s="458"/>
      <c r="Z253" s="458"/>
      <c r="AA253" s="458"/>
    </row>
    <row r="254" spans="1:27" s="303" customFormat="1" ht="14.25">
      <c r="A254" s="592" t="s">
        <v>2111</v>
      </c>
      <c r="B254" s="592">
        <v>656.5</v>
      </c>
      <c r="C254" s="594"/>
      <c r="D254" s="384"/>
      <c r="E254" s="384"/>
      <c r="F254" s="384"/>
      <c r="G254" s="388"/>
      <c r="H254" s="389"/>
      <c r="I254" s="388"/>
      <c r="J254" s="391"/>
      <c r="K254" s="392"/>
      <c r="L254" s="392"/>
      <c r="M254" s="392"/>
      <c r="N254" s="388"/>
      <c r="O254" s="388"/>
      <c r="P254" s="392"/>
      <c r="Q254" s="394"/>
      <c r="R254" s="392"/>
      <c r="S254" s="395"/>
      <c r="T254" s="396"/>
      <c r="U254" s="396"/>
      <c r="V254" s="396"/>
      <c r="W254" s="396"/>
      <c r="X254" s="397"/>
      <c r="Y254" s="339"/>
      <c r="Z254" s="339"/>
      <c r="AA254" s="339"/>
    </row>
    <row r="255" spans="1:27" s="303" customFormat="1" ht="14.25">
      <c r="A255" s="592" t="s">
        <v>2112</v>
      </c>
      <c r="B255" s="592">
        <v>687.29</v>
      </c>
      <c r="C255" s="594"/>
      <c r="D255" s="384"/>
      <c r="E255" s="384"/>
      <c r="F255" s="384"/>
      <c r="G255" s="387"/>
      <c r="H255" s="549"/>
      <c r="I255" s="387"/>
      <c r="J255" s="550"/>
      <c r="K255" s="551"/>
      <c r="L255" s="551"/>
      <c r="M255" s="551"/>
      <c r="N255" s="387"/>
      <c r="O255" s="387"/>
      <c r="P255" s="551"/>
      <c r="Q255" s="394"/>
      <c r="R255" s="551"/>
      <c r="S255" s="395"/>
      <c r="T255" s="395"/>
      <c r="U255" s="395"/>
      <c r="V255" s="395"/>
      <c r="W255" s="395"/>
      <c r="X255" s="622"/>
      <c r="Y255" s="458"/>
      <c r="Z255" s="458"/>
      <c r="AA255" s="458"/>
    </row>
    <row r="256" spans="1:27" s="303" customFormat="1" ht="14.25">
      <c r="A256" s="592" t="s">
        <v>2113</v>
      </c>
      <c r="B256" s="592">
        <v>701.18</v>
      </c>
      <c r="C256" s="594"/>
      <c r="D256" s="384"/>
      <c r="E256" s="384"/>
      <c r="F256" s="384"/>
      <c r="G256" s="388"/>
      <c r="H256" s="389"/>
      <c r="I256" s="388"/>
      <c r="J256" s="391"/>
      <c r="K256" s="392"/>
      <c r="L256" s="392"/>
      <c r="M256" s="392"/>
      <c r="N256" s="388"/>
      <c r="O256" s="388"/>
      <c r="P256" s="392"/>
      <c r="Q256" s="394"/>
      <c r="R256" s="392"/>
      <c r="S256" s="395"/>
      <c r="T256" s="396"/>
      <c r="U256" s="396"/>
      <c r="V256" s="396"/>
      <c r="W256" s="396"/>
      <c r="X256" s="397"/>
      <c r="Y256" s="339"/>
      <c r="Z256" s="339"/>
      <c r="AA256" s="339"/>
    </row>
    <row r="257" spans="1:27" s="303" customFormat="1" ht="14.25">
      <c r="A257" s="592" t="s">
        <v>2114</v>
      </c>
      <c r="B257" s="592">
        <v>706.19</v>
      </c>
      <c r="C257" s="594"/>
      <c r="D257" s="384"/>
      <c r="E257" s="384"/>
      <c r="F257" s="384"/>
      <c r="G257" s="387"/>
      <c r="H257" s="549"/>
      <c r="I257" s="387"/>
      <c r="J257" s="550"/>
      <c r="K257" s="551"/>
      <c r="L257" s="551"/>
      <c r="M257" s="551"/>
      <c r="N257" s="387"/>
      <c r="O257" s="387"/>
      <c r="P257" s="551"/>
      <c r="Q257" s="394"/>
      <c r="R257" s="551"/>
      <c r="S257" s="395"/>
      <c r="T257" s="395"/>
      <c r="U257" s="395"/>
      <c r="V257" s="395"/>
      <c r="W257" s="395"/>
      <c r="X257" s="622"/>
      <c r="Y257" s="458"/>
      <c r="Z257" s="458"/>
      <c r="AA257" s="458"/>
    </row>
    <row r="258" spans="1:27" s="303" customFormat="1" ht="14.25">
      <c r="A258" s="592" t="s">
        <v>2115</v>
      </c>
      <c r="B258" s="592">
        <v>709.44</v>
      </c>
      <c r="C258" s="594"/>
      <c r="D258" s="384"/>
      <c r="E258" s="384"/>
      <c r="F258" s="384"/>
      <c r="G258" s="388"/>
      <c r="H258" s="389"/>
      <c r="I258" s="388"/>
      <c r="J258" s="391"/>
      <c r="K258" s="392"/>
      <c r="L258" s="392"/>
      <c r="M258" s="392"/>
      <c r="N258" s="388"/>
      <c r="O258" s="388"/>
      <c r="P258" s="392"/>
      <c r="Q258" s="394"/>
      <c r="R258" s="392"/>
      <c r="S258" s="395"/>
      <c r="T258" s="396"/>
      <c r="U258" s="396"/>
      <c r="V258" s="396"/>
      <c r="W258" s="396"/>
      <c r="X258" s="397"/>
      <c r="Y258" s="339"/>
      <c r="Z258" s="339"/>
      <c r="AA258" s="339"/>
    </row>
    <row r="259" spans="1:27" s="303" customFormat="1" ht="14.25">
      <c r="A259" s="599" t="s">
        <v>2117</v>
      </c>
      <c r="B259" s="594">
        <f>AVERAGE(B248:B258)</f>
        <v>632.7663636363636</v>
      </c>
      <c r="C259" s="594">
        <f>B259/1000*8.8225</f>
        <v>5.582581243181818</v>
      </c>
      <c r="D259" s="384"/>
      <c r="E259" s="384"/>
      <c r="F259" s="384"/>
      <c r="G259" s="387"/>
      <c r="H259" s="549"/>
      <c r="I259" s="387"/>
      <c r="J259" s="550"/>
      <c r="K259" s="551"/>
      <c r="L259" s="551"/>
      <c r="M259" s="551"/>
      <c r="N259" s="387"/>
      <c r="O259" s="387"/>
      <c r="P259" s="551"/>
      <c r="Q259" s="394"/>
      <c r="R259" s="551"/>
      <c r="S259" s="395"/>
      <c r="T259" s="395"/>
      <c r="U259" s="395"/>
      <c r="V259" s="395"/>
      <c r="W259" s="395"/>
      <c r="X259" s="622"/>
      <c r="Y259" s="458"/>
      <c r="Z259" s="458"/>
      <c r="AA259" s="458"/>
    </row>
    <row r="260" spans="1:27" s="303" customFormat="1" ht="14.25">
      <c r="A260" s="384"/>
      <c r="B260" s="384"/>
      <c r="C260" s="384"/>
      <c r="D260" s="384"/>
      <c r="E260" s="384"/>
      <c r="F260" s="384"/>
      <c r="G260" s="388"/>
      <c r="H260" s="389"/>
      <c r="I260" s="388"/>
      <c r="J260" s="391"/>
      <c r="K260" s="392"/>
      <c r="L260" s="392"/>
      <c r="M260" s="392"/>
      <c r="N260" s="388"/>
      <c r="O260" s="388"/>
      <c r="P260" s="392"/>
      <c r="Q260" s="394"/>
      <c r="R260" s="392"/>
      <c r="S260" s="395"/>
      <c r="T260" s="396"/>
      <c r="U260" s="396"/>
      <c r="V260" s="396"/>
      <c r="W260" s="396"/>
      <c r="X260" s="397"/>
      <c r="Y260" s="339"/>
      <c r="Z260" s="339"/>
      <c r="AA260" s="339"/>
    </row>
    <row r="261" spans="1:27" s="303" customFormat="1" ht="14.25">
      <c r="A261" s="384"/>
      <c r="B261" s="384"/>
      <c r="C261" s="384"/>
      <c r="D261" s="384"/>
      <c r="E261" s="384"/>
      <c r="F261" s="384"/>
      <c r="G261" s="387"/>
      <c r="H261" s="549"/>
      <c r="I261" s="387"/>
      <c r="J261" s="550"/>
      <c r="K261" s="551"/>
      <c r="L261" s="551"/>
      <c r="M261" s="551"/>
      <c r="N261" s="387"/>
      <c r="O261" s="387"/>
      <c r="P261" s="551"/>
      <c r="Q261" s="394"/>
      <c r="R261" s="551"/>
      <c r="S261" s="395"/>
      <c r="T261" s="395"/>
      <c r="U261" s="395"/>
      <c r="V261" s="395"/>
      <c r="W261" s="395"/>
      <c r="X261" s="622"/>
      <c r="Y261" s="458"/>
      <c r="Z261" s="458"/>
      <c r="AA261" s="458"/>
    </row>
    <row r="262" spans="1:27" s="303" customFormat="1" ht="14.25">
      <c r="A262" s="384"/>
      <c r="B262" s="384"/>
      <c r="C262" s="384"/>
      <c r="D262" s="384"/>
      <c r="E262" s="384"/>
      <c r="F262" s="384"/>
      <c r="G262" s="388"/>
      <c r="H262" s="389"/>
      <c r="I262" s="388"/>
      <c r="J262" s="391"/>
      <c r="K262" s="392"/>
      <c r="L262" s="392"/>
      <c r="M262" s="392"/>
      <c r="N262" s="388"/>
      <c r="O262" s="388"/>
      <c r="P262" s="392"/>
      <c r="Q262" s="394"/>
      <c r="R262" s="392"/>
      <c r="S262" s="395"/>
      <c r="T262" s="396"/>
      <c r="U262" s="396"/>
      <c r="V262" s="396"/>
      <c r="W262" s="396"/>
      <c r="X262" s="397"/>
      <c r="Y262" s="339"/>
      <c r="Z262" s="339"/>
      <c r="AA262" s="339"/>
    </row>
    <row r="263" spans="1:27" s="303" customFormat="1" ht="14.25">
      <c r="A263" s="384"/>
      <c r="B263" s="384"/>
      <c r="C263" s="384"/>
      <c r="D263" s="384"/>
      <c r="E263" s="384"/>
      <c r="F263" s="384"/>
      <c r="G263" s="387"/>
      <c r="H263" s="549"/>
      <c r="I263" s="387"/>
      <c r="J263" s="550"/>
      <c r="K263" s="551"/>
      <c r="L263" s="551"/>
      <c r="M263" s="551"/>
      <c r="N263" s="387"/>
      <c r="O263" s="387"/>
      <c r="P263" s="551"/>
      <c r="Q263" s="394"/>
      <c r="R263" s="551"/>
      <c r="S263" s="395"/>
      <c r="T263" s="395"/>
      <c r="U263" s="395"/>
      <c r="V263" s="395"/>
      <c r="W263" s="395"/>
      <c r="X263" s="622"/>
      <c r="Y263" s="458"/>
      <c r="Z263" s="458"/>
      <c r="AA263" s="458"/>
    </row>
    <row r="264" spans="1:27" s="303" customFormat="1" ht="14.25">
      <c r="A264" s="384"/>
      <c r="B264" s="384"/>
      <c r="C264" s="384"/>
      <c r="D264" s="384"/>
      <c r="E264" s="384"/>
      <c r="F264" s="384"/>
      <c r="G264" s="388"/>
      <c r="H264" s="389"/>
      <c r="I264" s="388"/>
      <c r="J264" s="391"/>
      <c r="K264" s="392"/>
      <c r="L264" s="392"/>
      <c r="M264" s="392"/>
      <c r="N264" s="388"/>
      <c r="O264" s="388"/>
      <c r="P264" s="392"/>
      <c r="Q264" s="394"/>
      <c r="R264" s="392"/>
      <c r="S264" s="395"/>
      <c r="T264" s="396"/>
      <c r="U264" s="396"/>
      <c r="V264" s="396"/>
      <c r="W264" s="396"/>
      <c r="X264" s="397"/>
      <c r="Y264" s="339"/>
      <c r="Z264" s="339"/>
      <c r="AA264" s="339"/>
    </row>
    <row r="265" spans="1:27" s="303" customFormat="1" ht="14.25">
      <c r="A265" s="384"/>
      <c r="B265" s="384"/>
      <c r="C265" s="384"/>
      <c r="D265" s="384"/>
      <c r="E265" s="384"/>
      <c r="F265" s="384"/>
      <c r="G265" s="387"/>
      <c r="H265" s="549"/>
      <c r="I265" s="387"/>
      <c r="J265" s="550"/>
      <c r="K265" s="551"/>
      <c r="L265" s="551"/>
      <c r="M265" s="551"/>
      <c r="N265" s="387"/>
      <c r="O265" s="387"/>
      <c r="P265" s="551"/>
      <c r="Q265" s="394"/>
      <c r="R265" s="551"/>
      <c r="S265" s="395"/>
      <c r="T265" s="395"/>
      <c r="U265" s="395"/>
      <c r="V265" s="395"/>
      <c r="W265" s="395"/>
      <c r="X265" s="622"/>
      <c r="Y265" s="458"/>
      <c r="Z265" s="458"/>
      <c r="AA265" s="458"/>
    </row>
    <row r="266" spans="1:27" s="303" customFormat="1" ht="14.25">
      <c r="A266" s="384"/>
      <c r="B266" s="384"/>
      <c r="C266" s="384"/>
      <c r="D266" s="384"/>
      <c r="E266" s="384"/>
      <c r="F266" s="384"/>
      <c r="G266" s="388"/>
      <c r="H266" s="389"/>
      <c r="I266" s="388"/>
      <c r="J266" s="391"/>
      <c r="K266" s="392"/>
      <c r="L266" s="392"/>
      <c r="M266" s="392"/>
      <c r="N266" s="388"/>
      <c r="O266" s="388"/>
      <c r="P266" s="392"/>
      <c r="Q266" s="394"/>
      <c r="R266" s="392"/>
      <c r="S266" s="395"/>
      <c r="T266" s="396"/>
      <c r="U266" s="396"/>
      <c r="V266" s="396"/>
      <c r="W266" s="396"/>
      <c r="X266" s="397"/>
      <c r="Y266" s="339"/>
      <c r="Z266" s="339"/>
      <c r="AA266" s="339"/>
    </row>
    <row r="267" spans="1:27" s="303" customFormat="1" ht="14.25">
      <c r="A267" s="384"/>
      <c r="B267" s="384"/>
      <c r="C267" s="384"/>
      <c r="D267" s="384"/>
      <c r="E267" s="384"/>
      <c r="F267" s="384"/>
      <c r="G267" s="387"/>
      <c r="H267" s="549"/>
      <c r="I267" s="387"/>
      <c r="J267" s="550"/>
      <c r="K267" s="551"/>
      <c r="L267" s="551"/>
      <c r="M267" s="551"/>
      <c r="N267" s="387"/>
      <c r="O267" s="387"/>
      <c r="P267" s="551"/>
      <c r="Q267" s="394"/>
      <c r="R267" s="551"/>
      <c r="S267" s="395"/>
      <c r="T267" s="395"/>
      <c r="U267" s="395"/>
      <c r="V267" s="395"/>
      <c r="W267" s="395"/>
      <c r="X267" s="622"/>
      <c r="Y267" s="458"/>
      <c r="Z267" s="458"/>
      <c r="AA267" s="458"/>
    </row>
    <row r="268" spans="1:27" s="303" customFormat="1" ht="14.25">
      <c r="A268" s="384"/>
      <c r="B268" s="384"/>
      <c r="C268" s="384"/>
      <c r="D268" s="384"/>
      <c r="E268" s="384"/>
      <c r="F268" s="384"/>
      <c r="G268" s="388"/>
      <c r="H268" s="389"/>
      <c r="I268" s="388"/>
      <c r="J268" s="391"/>
      <c r="K268" s="392"/>
      <c r="L268" s="392"/>
      <c r="M268" s="392"/>
      <c r="N268" s="388"/>
      <c r="O268" s="388"/>
      <c r="P268" s="392"/>
      <c r="Q268" s="394"/>
      <c r="R268" s="392"/>
      <c r="S268" s="395"/>
      <c r="T268" s="396"/>
      <c r="U268" s="396"/>
      <c r="V268" s="396"/>
      <c r="W268" s="396"/>
      <c r="X268" s="397"/>
      <c r="Y268" s="339"/>
      <c r="Z268" s="339"/>
      <c r="AA268" s="339"/>
    </row>
    <row r="269" spans="1:27" s="303" customFormat="1" ht="14.25">
      <c r="A269" s="384"/>
      <c r="B269" s="384"/>
      <c r="C269" s="384"/>
      <c r="D269" s="384"/>
      <c r="E269" s="384"/>
      <c r="F269" s="384"/>
      <c r="G269" s="387"/>
      <c r="H269" s="549"/>
      <c r="I269" s="387"/>
      <c r="J269" s="550"/>
      <c r="K269" s="551"/>
      <c r="L269" s="551"/>
      <c r="M269" s="551"/>
      <c r="N269" s="387"/>
      <c r="O269" s="387"/>
      <c r="P269" s="551"/>
      <c r="Q269" s="394"/>
      <c r="R269" s="551"/>
      <c r="S269" s="395"/>
      <c r="T269" s="395"/>
      <c r="U269" s="395"/>
      <c r="V269" s="395"/>
      <c r="W269" s="395"/>
      <c r="X269" s="622"/>
      <c r="Y269" s="458"/>
      <c r="Z269" s="458"/>
      <c r="AA269" s="458"/>
    </row>
    <row r="270" spans="1:27" s="303" customFormat="1" ht="14.25">
      <c r="A270" s="384"/>
      <c r="B270" s="384"/>
      <c r="C270" s="384"/>
      <c r="D270" s="384"/>
      <c r="E270" s="384"/>
      <c r="F270" s="384"/>
      <c r="G270" s="388"/>
      <c r="H270" s="389"/>
      <c r="I270" s="388"/>
      <c r="J270" s="391"/>
      <c r="K270" s="392"/>
      <c r="L270" s="392"/>
      <c r="M270" s="392"/>
      <c r="N270" s="388"/>
      <c r="O270" s="388"/>
      <c r="P270" s="392"/>
      <c r="Q270" s="394"/>
      <c r="R270" s="392"/>
      <c r="S270" s="395"/>
      <c r="T270" s="396"/>
      <c r="U270" s="396"/>
      <c r="V270" s="396"/>
      <c r="W270" s="396"/>
      <c r="X270" s="397"/>
      <c r="Y270" s="339"/>
      <c r="Z270" s="339"/>
      <c r="AA270" s="339"/>
    </row>
    <row r="271" spans="1:27" s="303" customFormat="1" ht="14.25">
      <c r="A271" s="384"/>
      <c r="B271" s="384"/>
      <c r="C271" s="384"/>
      <c r="D271" s="384"/>
      <c r="E271" s="384"/>
      <c r="F271" s="384"/>
      <c r="G271" s="387"/>
      <c r="H271" s="549"/>
      <c r="I271" s="387"/>
      <c r="J271" s="550"/>
      <c r="K271" s="551"/>
      <c r="L271" s="551"/>
      <c r="M271" s="551"/>
      <c r="N271" s="387"/>
      <c r="O271" s="387"/>
      <c r="P271" s="551"/>
      <c r="Q271" s="394"/>
      <c r="R271" s="551"/>
      <c r="S271" s="395"/>
      <c r="T271" s="395"/>
      <c r="U271" s="395"/>
      <c r="V271" s="395"/>
      <c r="W271" s="395"/>
      <c r="X271" s="622"/>
      <c r="Y271" s="458"/>
      <c r="Z271" s="458"/>
      <c r="AA271" s="458"/>
    </row>
    <row r="272" spans="1:27" s="303" customFormat="1" ht="14.25">
      <c r="A272" s="384"/>
      <c r="B272" s="384"/>
      <c r="C272" s="384"/>
      <c r="D272" s="384"/>
      <c r="E272" s="384"/>
      <c r="F272" s="384"/>
      <c r="G272" s="388"/>
      <c r="H272" s="389"/>
      <c r="I272" s="388"/>
      <c r="J272" s="391"/>
      <c r="K272" s="392"/>
      <c r="L272" s="392"/>
      <c r="M272" s="392"/>
      <c r="N272" s="388"/>
      <c r="O272" s="388"/>
      <c r="P272" s="392"/>
      <c r="Q272" s="394"/>
      <c r="R272" s="392"/>
      <c r="S272" s="395"/>
      <c r="T272" s="396"/>
      <c r="U272" s="396"/>
      <c r="V272" s="396"/>
      <c r="W272" s="396"/>
      <c r="X272" s="397"/>
      <c r="Y272" s="339"/>
      <c r="Z272" s="339"/>
      <c r="AA272" s="339"/>
    </row>
    <row r="273" spans="1:27" s="303" customFormat="1" ht="14.25">
      <c r="A273" s="384"/>
      <c r="B273" s="384"/>
      <c r="C273" s="384"/>
      <c r="D273" s="384"/>
      <c r="E273" s="384"/>
      <c r="F273" s="384"/>
      <c r="G273" s="387"/>
      <c r="H273" s="549"/>
      <c r="I273" s="387"/>
      <c r="J273" s="550"/>
      <c r="K273" s="551"/>
      <c r="L273" s="551"/>
      <c r="M273" s="551"/>
      <c r="N273" s="387"/>
      <c r="O273" s="387"/>
      <c r="P273" s="551"/>
      <c r="Q273" s="394"/>
      <c r="R273" s="551"/>
      <c r="S273" s="395"/>
      <c r="T273" s="395"/>
      <c r="U273" s="395"/>
      <c r="V273" s="395"/>
      <c r="W273" s="395"/>
      <c r="X273" s="622"/>
      <c r="Y273" s="458"/>
      <c r="Z273" s="458"/>
      <c r="AA273" s="458"/>
    </row>
    <row r="274" spans="1:27" s="303" customFormat="1" ht="14.25">
      <c r="A274" s="384"/>
      <c r="B274" s="384"/>
      <c r="C274" s="384"/>
      <c r="D274" s="384"/>
      <c r="E274" s="384"/>
      <c r="F274" s="384"/>
      <c r="G274" s="388"/>
      <c r="H274" s="389"/>
      <c r="I274" s="388"/>
      <c r="J274" s="391"/>
      <c r="K274" s="392"/>
      <c r="L274" s="392"/>
      <c r="M274" s="392"/>
      <c r="N274" s="388"/>
      <c r="O274" s="388"/>
      <c r="P274" s="392"/>
      <c r="Q274" s="394"/>
      <c r="R274" s="392"/>
      <c r="S274" s="395"/>
      <c r="T274" s="396"/>
      <c r="U274" s="396"/>
      <c r="V274" s="396"/>
      <c r="W274" s="396"/>
      <c r="X274" s="397"/>
      <c r="Y274" s="339"/>
      <c r="Z274" s="339"/>
      <c r="AA274" s="339"/>
    </row>
    <row r="275" spans="1:27" s="303" customFormat="1" ht="14.25">
      <c r="A275" s="384"/>
      <c r="B275" s="384"/>
      <c r="C275" s="384"/>
      <c r="D275" s="384"/>
      <c r="E275" s="384"/>
      <c r="F275" s="384"/>
      <c r="G275" s="387"/>
      <c r="H275" s="549"/>
      <c r="I275" s="387"/>
      <c r="J275" s="550"/>
      <c r="K275" s="551"/>
      <c r="L275" s="551"/>
      <c r="M275" s="551"/>
      <c r="N275" s="387"/>
      <c r="O275" s="387"/>
      <c r="P275" s="551"/>
      <c r="Q275" s="394"/>
      <c r="R275" s="551"/>
      <c r="S275" s="395"/>
      <c r="T275" s="395"/>
      <c r="U275" s="395"/>
      <c r="V275" s="395"/>
      <c r="W275" s="395"/>
      <c r="X275" s="622"/>
      <c r="Y275" s="458"/>
      <c r="Z275" s="458"/>
      <c r="AA275" s="458"/>
    </row>
    <row r="276" spans="1:27" s="303" customFormat="1" ht="14.25">
      <c r="A276" s="384"/>
      <c r="B276" s="384"/>
      <c r="C276" s="384"/>
      <c r="D276" s="384"/>
      <c r="E276" s="384"/>
      <c r="F276" s="384"/>
      <c r="G276" s="388"/>
      <c r="H276" s="389"/>
      <c r="I276" s="388"/>
      <c r="J276" s="391"/>
      <c r="K276" s="392"/>
      <c r="L276" s="392"/>
      <c r="M276" s="392"/>
      <c r="N276" s="388"/>
      <c r="O276" s="388"/>
      <c r="P276" s="392"/>
      <c r="Q276" s="394"/>
      <c r="R276" s="392"/>
      <c r="S276" s="395"/>
      <c r="T276" s="396"/>
      <c r="U276" s="396"/>
      <c r="V276" s="396"/>
      <c r="W276" s="396"/>
      <c r="X276" s="397"/>
      <c r="Y276" s="339"/>
      <c r="Z276" s="339"/>
      <c r="AA276" s="339"/>
    </row>
    <row r="277" spans="1:27" s="303" customFormat="1" ht="14.25">
      <c r="A277" s="384"/>
      <c r="B277" s="384"/>
      <c r="C277" s="384"/>
      <c r="D277" s="384"/>
      <c r="E277" s="384"/>
      <c r="F277" s="384"/>
      <c r="G277" s="387"/>
      <c r="H277" s="549"/>
      <c r="I277" s="387"/>
      <c r="J277" s="550"/>
      <c r="K277" s="551"/>
      <c r="L277" s="551"/>
      <c r="M277" s="551"/>
      <c r="N277" s="387"/>
      <c r="O277" s="387"/>
      <c r="P277" s="551"/>
      <c r="Q277" s="394"/>
      <c r="R277" s="551"/>
      <c r="S277" s="395"/>
      <c r="T277" s="395"/>
      <c r="U277" s="395"/>
      <c r="V277" s="395"/>
      <c r="W277" s="395"/>
      <c r="X277" s="622"/>
      <c r="Y277" s="458"/>
      <c r="Z277" s="458"/>
      <c r="AA277" s="458"/>
    </row>
    <row r="278" spans="1:27" s="303" customFormat="1" ht="14.25">
      <c r="A278" s="384"/>
      <c r="B278" s="384"/>
      <c r="C278" s="384"/>
      <c r="D278" s="384"/>
      <c r="E278" s="384"/>
      <c r="F278" s="384"/>
      <c r="G278" s="388"/>
      <c r="H278" s="389"/>
      <c r="I278" s="388"/>
      <c r="J278" s="391"/>
      <c r="K278" s="392"/>
      <c r="L278" s="392"/>
      <c r="M278" s="392"/>
      <c r="N278" s="388"/>
      <c r="O278" s="388"/>
      <c r="P278" s="392"/>
      <c r="Q278" s="394"/>
      <c r="R278" s="392"/>
      <c r="S278" s="395"/>
      <c r="T278" s="396"/>
      <c r="U278" s="396"/>
      <c r="V278" s="396"/>
      <c r="W278" s="396"/>
      <c r="X278" s="397"/>
      <c r="Y278" s="339"/>
      <c r="Z278" s="339"/>
      <c r="AA278" s="339"/>
    </row>
    <row r="279" spans="1:27" s="303" customFormat="1" ht="14.25">
      <c r="A279" s="384"/>
      <c r="B279" s="384"/>
      <c r="C279" s="384"/>
      <c r="D279" s="384"/>
      <c r="E279" s="384"/>
      <c r="F279" s="384"/>
      <c r="G279" s="387"/>
      <c r="H279" s="549"/>
      <c r="I279" s="387"/>
      <c r="J279" s="550"/>
      <c r="K279" s="551"/>
      <c r="L279" s="551"/>
      <c r="M279" s="551"/>
      <c r="N279" s="387"/>
      <c r="O279" s="387"/>
      <c r="P279" s="551"/>
      <c r="Q279" s="394"/>
      <c r="R279" s="551"/>
      <c r="S279" s="395"/>
      <c r="T279" s="395"/>
      <c r="U279" s="395"/>
      <c r="V279" s="395"/>
      <c r="W279" s="395"/>
      <c r="X279" s="622"/>
      <c r="Y279" s="458"/>
      <c r="Z279" s="458"/>
      <c r="AA279" s="458"/>
    </row>
    <row r="280" spans="1:27" s="303" customFormat="1" ht="14.25">
      <c r="A280" s="384"/>
      <c r="B280" s="384"/>
      <c r="C280" s="384"/>
      <c r="D280" s="384"/>
      <c r="E280" s="384"/>
      <c r="F280" s="384"/>
      <c r="G280" s="388"/>
      <c r="H280" s="389"/>
      <c r="I280" s="388"/>
      <c r="J280" s="391"/>
      <c r="K280" s="392"/>
      <c r="L280" s="392"/>
      <c r="M280" s="392"/>
      <c r="N280" s="388"/>
      <c r="O280" s="388"/>
      <c r="P280" s="392"/>
      <c r="Q280" s="394"/>
      <c r="R280" s="392"/>
      <c r="S280" s="395"/>
      <c r="T280" s="396"/>
      <c r="U280" s="396"/>
      <c r="V280" s="396"/>
      <c r="W280" s="396"/>
      <c r="X280" s="397"/>
      <c r="Y280" s="339"/>
      <c r="Z280" s="339"/>
      <c r="AA280" s="339"/>
    </row>
    <row r="281" spans="1:27" s="303" customFormat="1" ht="14.25">
      <c r="A281" s="384"/>
      <c r="B281" s="384"/>
      <c r="C281" s="384"/>
      <c r="D281" s="384"/>
      <c r="E281" s="384"/>
      <c r="F281" s="384"/>
      <c r="G281" s="387"/>
      <c r="H281" s="549"/>
      <c r="I281" s="387"/>
      <c r="J281" s="550"/>
      <c r="K281" s="551"/>
      <c r="L281" s="551"/>
      <c r="M281" s="551"/>
      <c r="N281" s="387"/>
      <c r="O281" s="387"/>
      <c r="P281" s="551"/>
      <c r="Q281" s="394"/>
      <c r="R281" s="551"/>
      <c r="S281" s="395"/>
      <c r="T281" s="395"/>
      <c r="U281" s="395"/>
      <c r="V281" s="395"/>
      <c r="W281" s="395"/>
      <c r="X281" s="622"/>
      <c r="Y281" s="458"/>
      <c r="Z281" s="458"/>
      <c r="AA281" s="458"/>
    </row>
    <row r="282" spans="1:27" s="303" customFormat="1" ht="14.25">
      <c r="A282" s="384"/>
      <c r="B282" s="384"/>
      <c r="C282" s="384"/>
      <c r="D282" s="384"/>
      <c r="E282" s="384"/>
      <c r="F282" s="384"/>
      <c r="G282" s="388"/>
      <c r="H282" s="389"/>
      <c r="I282" s="388"/>
      <c r="J282" s="391"/>
      <c r="K282" s="392"/>
      <c r="L282" s="392"/>
      <c r="M282" s="392"/>
      <c r="N282" s="388"/>
      <c r="O282" s="388"/>
      <c r="P282" s="392"/>
      <c r="Q282" s="394"/>
      <c r="R282" s="392"/>
      <c r="S282" s="395"/>
      <c r="T282" s="396"/>
      <c r="U282" s="396"/>
      <c r="V282" s="396"/>
      <c r="W282" s="396"/>
      <c r="X282" s="397"/>
      <c r="Y282" s="339"/>
      <c r="Z282" s="339"/>
      <c r="AA282" s="339"/>
    </row>
    <row r="283" spans="1:27" s="303" customFormat="1" ht="14.25">
      <c r="A283" s="384"/>
      <c r="B283" s="384"/>
      <c r="C283" s="384"/>
      <c r="D283" s="384"/>
      <c r="E283" s="384"/>
      <c r="F283" s="384"/>
      <c r="G283" s="387"/>
      <c r="H283" s="549"/>
      <c r="I283" s="387"/>
      <c r="J283" s="550"/>
      <c r="K283" s="551"/>
      <c r="L283" s="551"/>
      <c r="M283" s="551"/>
      <c r="N283" s="387"/>
      <c r="O283" s="387"/>
      <c r="P283" s="551"/>
      <c r="Q283" s="394"/>
      <c r="R283" s="551"/>
      <c r="S283" s="395"/>
      <c r="T283" s="395"/>
      <c r="U283" s="395"/>
      <c r="V283" s="395"/>
      <c r="W283" s="395"/>
      <c r="X283" s="622"/>
      <c r="Y283" s="458"/>
      <c r="Z283" s="458"/>
      <c r="AA283" s="458"/>
    </row>
    <row r="284" spans="1:27" s="303" customFormat="1" ht="14.25">
      <c r="A284" s="384"/>
      <c r="B284" s="384"/>
      <c r="C284" s="384"/>
      <c r="D284" s="384"/>
      <c r="E284" s="384"/>
      <c r="F284" s="384"/>
      <c r="G284" s="388"/>
      <c r="H284" s="389"/>
      <c r="I284" s="388"/>
      <c r="J284" s="391"/>
      <c r="K284" s="392"/>
      <c r="L284" s="392"/>
      <c r="M284" s="392"/>
      <c r="N284" s="388"/>
      <c r="O284" s="388"/>
      <c r="P284" s="392"/>
      <c r="Q284" s="394"/>
      <c r="R284" s="392"/>
      <c r="S284" s="395"/>
      <c r="T284" s="396"/>
      <c r="U284" s="396"/>
      <c r="V284" s="396"/>
      <c r="W284" s="396"/>
      <c r="X284" s="397"/>
      <c r="Y284" s="339"/>
      <c r="Z284" s="339"/>
      <c r="AA284" s="339"/>
    </row>
    <row r="285" spans="1:27" s="303" customFormat="1" ht="14.25">
      <c r="A285" s="384"/>
      <c r="B285" s="384"/>
      <c r="C285" s="384"/>
      <c r="D285" s="384"/>
      <c r="E285" s="384"/>
      <c r="F285" s="384"/>
      <c r="G285" s="387"/>
      <c r="H285" s="549"/>
      <c r="I285" s="387"/>
      <c r="J285" s="550"/>
      <c r="K285" s="551"/>
      <c r="L285" s="551"/>
      <c r="M285" s="551"/>
      <c r="N285" s="387"/>
      <c r="O285" s="387"/>
      <c r="P285" s="551"/>
      <c r="Q285" s="394"/>
      <c r="R285" s="551"/>
      <c r="S285" s="395"/>
      <c r="T285" s="395"/>
      <c r="U285" s="395"/>
      <c r="V285" s="395"/>
      <c r="W285" s="395"/>
      <c r="X285" s="622"/>
      <c r="Y285" s="458"/>
      <c r="Z285" s="458"/>
      <c r="AA285" s="458"/>
    </row>
    <row r="286" spans="1:27" s="303" customFormat="1" ht="14.25">
      <c r="A286" s="384"/>
      <c r="B286" s="384"/>
      <c r="C286" s="384"/>
      <c r="D286" s="384"/>
      <c r="E286" s="384"/>
      <c r="F286" s="384"/>
      <c r="G286" s="388"/>
      <c r="H286" s="389"/>
      <c r="I286" s="388"/>
      <c r="J286" s="391"/>
      <c r="K286" s="392"/>
      <c r="L286" s="392"/>
      <c r="M286" s="392"/>
      <c r="N286" s="388"/>
      <c r="O286" s="388"/>
      <c r="P286" s="392"/>
      <c r="Q286" s="394"/>
      <c r="R286" s="392"/>
      <c r="S286" s="395"/>
      <c r="T286" s="396"/>
      <c r="U286" s="396"/>
      <c r="V286" s="396"/>
      <c r="W286" s="396"/>
      <c r="X286" s="397"/>
      <c r="Y286" s="339"/>
      <c r="Z286" s="339"/>
      <c r="AA286" s="339"/>
    </row>
    <row r="287" spans="1:27" s="303" customFormat="1" ht="14.25">
      <c r="A287" s="384"/>
      <c r="B287" s="384"/>
      <c r="C287" s="384"/>
      <c r="D287" s="384"/>
      <c r="E287" s="384"/>
      <c r="F287" s="384"/>
      <c r="G287" s="387"/>
      <c r="H287" s="549"/>
      <c r="I287" s="387"/>
      <c r="J287" s="550"/>
      <c r="K287" s="551"/>
      <c r="L287" s="551"/>
      <c r="M287" s="551"/>
      <c r="N287" s="387"/>
      <c r="O287" s="387"/>
      <c r="P287" s="551"/>
      <c r="Q287" s="394"/>
      <c r="R287" s="551"/>
      <c r="S287" s="395"/>
      <c r="T287" s="395"/>
      <c r="U287" s="395"/>
      <c r="V287" s="395"/>
      <c r="W287" s="395"/>
      <c r="X287" s="622"/>
      <c r="Y287" s="458"/>
      <c r="Z287" s="458"/>
      <c r="AA287" s="458"/>
    </row>
    <row r="288" spans="1:27" s="303" customFormat="1" ht="14.25">
      <c r="A288" s="384"/>
      <c r="B288" s="384"/>
      <c r="C288" s="384"/>
      <c r="D288" s="384"/>
      <c r="E288" s="384"/>
      <c r="F288" s="384"/>
      <c r="G288" s="388"/>
      <c r="H288" s="389"/>
      <c r="I288" s="388"/>
      <c r="J288" s="391"/>
      <c r="K288" s="392"/>
      <c r="L288" s="392"/>
      <c r="M288" s="392"/>
      <c r="N288" s="388"/>
      <c r="O288" s="388"/>
      <c r="P288" s="392"/>
      <c r="Q288" s="394"/>
      <c r="R288" s="392"/>
      <c r="S288" s="395"/>
      <c r="T288" s="396"/>
      <c r="U288" s="396"/>
      <c r="V288" s="396"/>
      <c r="W288" s="396"/>
      <c r="X288" s="397"/>
      <c r="Y288" s="339"/>
      <c r="Z288" s="339"/>
      <c r="AA288" s="339"/>
    </row>
    <row r="289" spans="1:27" s="303" customFormat="1" ht="14.25">
      <c r="A289" s="384"/>
      <c r="B289" s="384"/>
      <c r="C289" s="384"/>
      <c r="D289" s="384"/>
      <c r="E289" s="384"/>
      <c r="F289" s="384"/>
      <c r="G289" s="387"/>
      <c r="H289" s="549"/>
      <c r="I289" s="387"/>
      <c r="J289" s="550"/>
      <c r="K289" s="551"/>
      <c r="L289" s="551"/>
      <c r="M289" s="551"/>
      <c r="N289" s="387"/>
      <c r="O289" s="387"/>
      <c r="P289" s="551"/>
      <c r="Q289" s="394"/>
      <c r="R289" s="551"/>
      <c r="S289" s="395"/>
      <c r="T289" s="395"/>
      <c r="U289" s="395"/>
      <c r="V289" s="395"/>
      <c r="W289" s="395"/>
      <c r="X289" s="622"/>
      <c r="Y289" s="458"/>
      <c r="Z289" s="458"/>
      <c r="AA289" s="458"/>
    </row>
    <row r="290" spans="1:27" s="303" customFormat="1" ht="14.25">
      <c r="A290" s="384"/>
      <c r="B290" s="384"/>
      <c r="C290" s="384"/>
      <c r="D290" s="384"/>
      <c r="E290" s="384"/>
      <c r="F290" s="384"/>
      <c r="G290" s="388"/>
      <c r="H290" s="389"/>
      <c r="I290" s="388"/>
      <c r="J290" s="391"/>
      <c r="K290" s="392"/>
      <c r="L290" s="392"/>
      <c r="M290" s="392"/>
      <c r="N290" s="388"/>
      <c r="O290" s="388"/>
      <c r="P290" s="392"/>
      <c r="Q290" s="394"/>
      <c r="R290" s="392"/>
      <c r="S290" s="395"/>
      <c r="T290" s="396"/>
      <c r="U290" s="396"/>
      <c r="V290" s="396"/>
      <c r="W290" s="396"/>
      <c r="X290" s="397"/>
      <c r="Y290" s="339"/>
      <c r="Z290" s="339"/>
      <c r="AA290" s="339"/>
    </row>
    <row r="291" spans="1:27" s="303" customFormat="1" ht="14.25">
      <c r="A291" s="384"/>
      <c r="B291" s="384"/>
      <c r="C291" s="384"/>
      <c r="D291" s="384"/>
      <c r="E291" s="384"/>
      <c r="F291" s="384"/>
      <c r="G291" s="387"/>
      <c r="H291" s="549"/>
      <c r="I291" s="387"/>
      <c r="J291" s="550"/>
      <c r="K291" s="551"/>
      <c r="L291" s="551"/>
      <c r="M291" s="551"/>
      <c r="N291" s="387"/>
      <c r="O291" s="387"/>
      <c r="P291" s="551"/>
      <c r="Q291" s="394"/>
      <c r="R291" s="551"/>
      <c r="S291" s="395"/>
      <c r="T291" s="395"/>
      <c r="U291" s="395"/>
      <c r="V291" s="395"/>
      <c r="W291" s="395"/>
      <c r="X291" s="622"/>
      <c r="Y291" s="458"/>
      <c r="Z291" s="458"/>
      <c r="AA291" s="458"/>
    </row>
    <row r="292" spans="1:27" s="303" customFormat="1" ht="14.25">
      <c r="A292" s="384"/>
      <c r="B292" s="384"/>
      <c r="C292" s="384"/>
      <c r="D292" s="384"/>
      <c r="E292" s="384"/>
      <c r="F292" s="384"/>
      <c r="G292" s="388"/>
      <c r="H292" s="389"/>
      <c r="I292" s="388"/>
      <c r="J292" s="391"/>
      <c r="K292" s="392"/>
      <c r="L292" s="392"/>
      <c r="M292" s="392"/>
      <c r="N292" s="388"/>
      <c r="O292" s="388"/>
      <c r="P292" s="392"/>
      <c r="Q292" s="394"/>
      <c r="R292" s="392"/>
      <c r="S292" s="395"/>
      <c r="T292" s="396"/>
      <c r="U292" s="396"/>
      <c r="V292" s="396"/>
      <c r="W292" s="396"/>
      <c r="X292" s="397"/>
      <c r="Y292" s="339"/>
      <c r="Z292" s="339"/>
      <c r="AA292" s="339"/>
    </row>
    <row r="293" spans="1:27" s="303" customFormat="1" ht="14.25">
      <c r="A293" s="384"/>
      <c r="B293" s="384"/>
      <c r="C293" s="384"/>
      <c r="D293" s="384"/>
      <c r="E293" s="384"/>
      <c r="F293" s="384"/>
      <c r="G293" s="387"/>
      <c r="H293" s="549"/>
      <c r="I293" s="387"/>
      <c r="J293" s="550"/>
      <c r="K293" s="551"/>
      <c r="L293" s="551"/>
      <c r="M293" s="551"/>
      <c r="N293" s="387"/>
      <c r="O293" s="387"/>
      <c r="P293" s="551"/>
      <c r="Q293" s="394"/>
      <c r="R293" s="551"/>
      <c r="S293" s="395"/>
      <c r="T293" s="395"/>
      <c r="U293" s="395"/>
      <c r="V293" s="395"/>
      <c r="W293" s="395"/>
      <c r="X293" s="622"/>
      <c r="Y293" s="458"/>
      <c r="Z293" s="458"/>
      <c r="AA293" s="458"/>
    </row>
    <row r="294" spans="1:27" s="303" customFormat="1" ht="14.25">
      <c r="A294" s="384"/>
      <c r="B294" s="384"/>
      <c r="C294" s="384"/>
      <c r="D294" s="384"/>
      <c r="E294" s="384"/>
      <c r="F294" s="384"/>
      <c r="G294" s="388"/>
      <c r="H294" s="389"/>
      <c r="I294" s="388"/>
      <c r="J294" s="391"/>
      <c r="K294" s="392"/>
      <c r="L294" s="392"/>
      <c r="M294" s="392"/>
      <c r="N294" s="388"/>
      <c r="O294" s="388"/>
      <c r="P294" s="392"/>
      <c r="Q294" s="394"/>
      <c r="R294" s="392"/>
      <c r="S294" s="395"/>
      <c r="T294" s="396"/>
      <c r="U294" s="396"/>
      <c r="V294" s="396"/>
      <c r="W294" s="396"/>
      <c r="X294" s="397"/>
      <c r="Y294" s="339"/>
      <c r="Z294" s="339"/>
      <c r="AA294" s="339"/>
    </row>
    <row r="295" spans="1:27" s="303" customFormat="1" ht="14.25">
      <c r="A295" s="384"/>
      <c r="B295" s="384"/>
      <c r="C295" s="384"/>
      <c r="D295" s="384"/>
      <c r="E295" s="384"/>
      <c r="F295" s="384"/>
      <c r="G295" s="387"/>
      <c r="H295" s="549"/>
      <c r="I295" s="387"/>
      <c r="J295" s="550"/>
      <c r="K295" s="551"/>
      <c r="L295" s="551"/>
      <c r="M295" s="551"/>
      <c r="N295" s="387"/>
      <c r="O295" s="387"/>
      <c r="P295" s="551"/>
      <c r="Q295" s="394"/>
      <c r="R295" s="551"/>
      <c r="S295" s="395"/>
      <c r="T295" s="395"/>
      <c r="U295" s="395"/>
      <c r="V295" s="395"/>
      <c r="W295" s="395"/>
      <c r="X295" s="622"/>
      <c r="Y295" s="458"/>
      <c r="Z295" s="458"/>
      <c r="AA295" s="458"/>
    </row>
    <row r="296" spans="1:27" s="303" customFormat="1" ht="14.25">
      <c r="A296" s="384"/>
      <c r="B296" s="384"/>
      <c r="C296" s="384"/>
      <c r="D296" s="384"/>
      <c r="E296" s="384"/>
      <c r="F296" s="384"/>
      <c r="G296" s="388"/>
      <c r="H296" s="389"/>
      <c r="I296" s="388"/>
      <c r="J296" s="391"/>
      <c r="K296" s="392"/>
      <c r="L296" s="392"/>
      <c r="M296" s="392"/>
      <c r="N296" s="388"/>
      <c r="O296" s="388"/>
      <c r="P296" s="392"/>
      <c r="Q296" s="394"/>
      <c r="R296" s="392"/>
      <c r="S296" s="395"/>
      <c r="T296" s="396"/>
      <c r="U296" s="396"/>
      <c r="V296" s="396"/>
      <c r="W296" s="396"/>
      <c r="X296" s="397"/>
      <c r="Y296" s="339"/>
      <c r="Z296" s="339"/>
      <c r="AA296" s="339"/>
    </row>
    <row r="297" spans="1:27" s="303" customFormat="1" ht="14.25">
      <c r="A297" s="384"/>
      <c r="B297" s="384"/>
      <c r="C297" s="384"/>
      <c r="D297" s="384"/>
      <c r="E297" s="384"/>
      <c r="F297" s="384"/>
      <c r="G297" s="387"/>
      <c r="H297" s="549"/>
      <c r="I297" s="387"/>
      <c r="J297" s="550"/>
      <c r="K297" s="551"/>
      <c r="L297" s="551"/>
      <c r="M297" s="551"/>
      <c r="N297" s="387"/>
      <c r="O297" s="387"/>
      <c r="P297" s="551"/>
      <c r="Q297" s="394"/>
      <c r="R297" s="551"/>
      <c r="S297" s="395"/>
      <c r="T297" s="395"/>
      <c r="U297" s="395"/>
      <c r="V297" s="395"/>
      <c r="W297" s="395"/>
      <c r="X297" s="622"/>
      <c r="Y297" s="458"/>
      <c r="Z297" s="458"/>
      <c r="AA297" s="458"/>
    </row>
    <row r="298" spans="1:27" s="303" customFormat="1" ht="14.25">
      <c r="A298" s="384"/>
      <c r="B298" s="384"/>
      <c r="C298" s="384"/>
      <c r="D298" s="384"/>
      <c r="E298" s="384"/>
      <c r="F298" s="384"/>
      <c r="G298" s="388"/>
      <c r="H298" s="389"/>
      <c r="I298" s="388"/>
      <c r="J298" s="391"/>
      <c r="K298" s="392"/>
      <c r="L298" s="392"/>
      <c r="M298" s="392"/>
      <c r="N298" s="388"/>
      <c r="O298" s="388"/>
      <c r="P298" s="392"/>
      <c r="Q298" s="394"/>
      <c r="R298" s="392"/>
      <c r="S298" s="395"/>
      <c r="T298" s="396"/>
      <c r="U298" s="396"/>
      <c r="V298" s="396"/>
      <c r="W298" s="396"/>
      <c r="X298" s="397"/>
      <c r="Y298" s="339"/>
      <c r="Z298" s="339"/>
      <c r="AA298" s="339"/>
    </row>
    <row r="299" spans="1:27" s="303" customFormat="1" ht="14.25">
      <c r="A299" s="384"/>
      <c r="B299" s="384"/>
      <c r="C299" s="384"/>
      <c r="D299" s="384"/>
      <c r="E299" s="384"/>
      <c r="F299" s="384"/>
      <c r="G299" s="387"/>
      <c r="H299" s="549"/>
      <c r="I299" s="387"/>
      <c r="J299" s="550"/>
      <c r="K299" s="551"/>
      <c r="L299" s="551"/>
      <c r="M299" s="551"/>
      <c r="N299" s="387"/>
      <c r="O299" s="387"/>
      <c r="P299" s="551"/>
      <c r="Q299" s="394"/>
      <c r="R299" s="551"/>
      <c r="S299" s="395"/>
      <c r="T299" s="395"/>
      <c r="U299" s="395"/>
      <c r="V299" s="395"/>
      <c r="W299" s="395"/>
      <c r="X299" s="622"/>
      <c r="Y299" s="458"/>
      <c r="Z299" s="458"/>
      <c r="AA299" s="458"/>
    </row>
    <row r="300" spans="1:27" s="303" customFormat="1" ht="14.25">
      <c r="A300" s="384"/>
      <c r="B300" s="384"/>
      <c r="C300" s="384"/>
      <c r="D300" s="384"/>
      <c r="E300" s="384"/>
      <c r="F300" s="384"/>
      <c r="G300" s="388"/>
      <c r="H300" s="389"/>
      <c r="I300" s="388"/>
      <c r="J300" s="391"/>
      <c r="K300" s="392"/>
      <c r="L300" s="392"/>
      <c r="M300" s="392"/>
      <c r="N300" s="388"/>
      <c r="O300" s="388"/>
      <c r="P300" s="392"/>
      <c r="Q300" s="394"/>
      <c r="R300" s="392"/>
      <c r="S300" s="395"/>
      <c r="T300" s="396"/>
      <c r="U300" s="396"/>
      <c r="V300" s="396"/>
      <c r="W300" s="396"/>
      <c r="X300" s="397"/>
      <c r="Y300" s="339"/>
      <c r="Z300" s="339"/>
      <c r="AA300" s="339"/>
    </row>
    <row r="301" spans="1:27" s="303" customFormat="1" ht="14.25">
      <c r="A301" s="384"/>
      <c r="B301" s="384"/>
      <c r="C301" s="384"/>
      <c r="D301" s="384"/>
      <c r="E301" s="384"/>
      <c r="F301" s="384"/>
      <c r="G301" s="387"/>
      <c r="H301" s="549"/>
      <c r="I301" s="387"/>
      <c r="J301" s="550"/>
      <c r="K301" s="551"/>
      <c r="L301" s="551"/>
      <c r="M301" s="551"/>
      <c r="N301" s="387"/>
      <c r="O301" s="387"/>
      <c r="P301" s="551"/>
      <c r="Q301" s="394"/>
      <c r="R301" s="551"/>
      <c r="S301" s="395"/>
      <c r="T301" s="395"/>
      <c r="U301" s="395"/>
      <c r="V301" s="395"/>
      <c r="W301" s="395"/>
      <c r="X301" s="622"/>
      <c r="Y301" s="458"/>
      <c r="Z301" s="458"/>
      <c r="AA301" s="458"/>
    </row>
    <row r="302" spans="1:27" s="303" customFormat="1" ht="14.25">
      <c r="A302" s="384"/>
      <c r="B302" s="384"/>
      <c r="C302" s="384"/>
      <c r="D302" s="384"/>
      <c r="E302" s="384"/>
      <c r="F302" s="384"/>
      <c r="G302" s="388"/>
      <c r="H302" s="389"/>
      <c r="I302" s="388"/>
      <c r="J302" s="391"/>
      <c r="K302" s="392"/>
      <c r="L302" s="392"/>
      <c r="M302" s="392"/>
      <c r="N302" s="388"/>
      <c r="O302" s="388"/>
      <c r="P302" s="392"/>
      <c r="Q302" s="394"/>
      <c r="R302" s="392"/>
      <c r="S302" s="395"/>
      <c r="T302" s="396"/>
      <c r="U302" s="396"/>
      <c r="V302" s="396"/>
      <c r="W302" s="396"/>
      <c r="X302" s="397"/>
      <c r="Y302" s="339"/>
      <c r="Z302" s="339"/>
      <c r="AA302" s="339"/>
    </row>
    <row r="303" spans="1:27" s="303" customFormat="1" ht="14.25">
      <c r="A303" s="384"/>
      <c r="B303" s="384"/>
      <c r="C303" s="384"/>
      <c r="D303" s="384"/>
      <c r="E303" s="384"/>
      <c r="F303" s="384"/>
      <c r="G303" s="387"/>
      <c r="H303" s="549"/>
      <c r="I303" s="387"/>
      <c r="J303" s="550"/>
      <c r="K303" s="551"/>
      <c r="L303" s="551"/>
      <c r="M303" s="551"/>
      <c r="N303" s="387"/>
      <c r="O303" s="387"/>
      <c r="P303" s="551"/>
      <c r="Q303" s="394"/>
      <c r="R303" s="551"/>
      <c r="S303" s="395"/>
      <c r="T303" s="395"/>
      <c r="U303" s="395"/>
      <c r="V303" s="395"/>
      <c r="W303" s="395"/>
      <c r="X303" s="622"/>
      <c r="Y303" s="458"/>
      <c r="Z303" s="458"/>
      <c r="AA303" s="458"/>
    </row>
    <row r="304" spans="1:27" s="303" customFormat="1" ht="14.25">
      <c r="A304" s="384"/>
      <c r="B304" s="384"/>
      <c r="C304" s="384"/>
      <c r="D304" s="384"/>
      <c r="E304" s="384"/>
      <c r="F304" s="384"/>
      <c r="G304" s="388"/>
      <c r="H304" s="389"/>
      <c r="I304" s="388"/>
      <c r="J304" s="391"/>
      <c r="K304" s="392"/>
      <c r="L304" s="392"/>
      <c r="M304" s="392"/>
      <c r="N304" s="388"/>
      <c r="O304" s="388"/>
      <c r="P304" s="392"/>
      <c r="Q304" s="394"/>
      <c r="R304" s="392"/>
      <c r="S304" s="395"/>
      <c r="T304" s="396"/>
      <c r="U304" s="396"/>
      <c r="V304" s="396"/>
      <c r="W304" s="396"/>
      <c r="X304" s="397"/>
      <c r="Y304" s="339"/>
      <c r="Z304" s="339"/>
      <c r="AA304" s="339"/>
    </row>
    <row r="305" spans="1:27" s="303" customFormat="1" ht="14.25">
      <c r="A305" s="384"/>
      <c r="B305" s="384"/>
      <c r="C305" s="384"/>
      <c r="D305" s="384"/>
      <c r="E305" s="384"/>
      <c r="F305" s="384"/>
      <c r="G305" s="387"/>
      <c r="H305" s="549"/>
      <c r="I305" s="387"/>
      <c r="J305" s="550"/>
      <c r="K305" s="551"/>
      <c r="L305" s="551"/>
      <c r="M305" s="551"/>
      <c r="N305" s="387"/>
      <c r="O305" s="387"/>
      <c r="P305" s="551"/>
      <c r="Q305" s="394"/>
      <c r="R305" s="551"/>
      <c r="S305" s="395"/>
      <c r="T305" s="395"/>
      <c r="U305" s="395"/>
      <c r="V305" s="395"/>
      <c r="W305" s="395"/>
      <c r="X305" s="622"/>
      <c r="Y305" s="458"/>
      <c r="Z305" s="458"/>
      <c r="AA305" s="458"/>
    </row>
    <row r="306" spans="1:27" s="303" customFormat="1" ht="14.25">
      <c r="A306" s="384"/>
      <c r="B306" s="384"/>
      <c r="C306" s="384"/>
      <c r="D306" s="384"/>
      <c r="E306" s="384"/>
      <c r="F306" s="384"/>
      <c r="G306" s="388"/>
      <c r="H306" s="389"/>
      <c r="I306" s="388"/>
      <c r="J306" s="391"/>
      <c r="K306" s="392"/>
      <c r="L306" s="392"/>
      <c r="M306" s="392"/>
      <c r="N306" s="388"/>
      <c r="O306" s="388"/>
      <c r="P306" s="392"/>
      <c r="Q306" s="394"/>
      <c r="R306" s="392"/>
      <c r="S306" s="395"/>
      <c r="T306" s="396"/>
      <c r="U306" s="396"/>
      <c r="V306" s="396"/>
      <c r="W306" s="396"/>
      <c r="X306" s="397"/>
      <c r="Y306" s="339"/>
      <c r="Z306" s="339"/>
      <c r="AA306" s="339"/>
    </row>
    <row r="307" spans="1:27" s="303" customFormat="1" ht="14.25">
      <c r="A307" s="384"/>
      <c r="B307" s="384"/>
      <c r="C307" s="384"/>
      <c r="D307" s="384"/>
      <c r="E307" s="384"/>
      <c r="F307" s="384"/>
      <c r="G307" s="387"/>
      <c r="H307" s="549"/>
      <c r="I307" s="387"/>
      <c r="J307" s="550"/>
      <c r="K307" s="551"/>
      <c r="L307" s="551"/>
      <c r="M307" s="551"/>
      <c r="N307" s="387"/>
      <c r="O307" s="387"/>
      <c r="P307" s="551"/>
      <c r="Q307" s="394"/>
      <c r="R307" s="551"/>
      <c r="S307" s="395"/>
      <c r="T307" s="395"/>
      <c r="U307" s="395"/>
      <c r="V307" s="395"/>
      <c r="W307" s="395"/>
      <c r="X307" s="622"/>
      <c r="Y307" s="458"/>
      <c r="Z307" s="458"/>
      <c r="AA307" s="458"/>
    </row>
    <row r="308" spans="1:27" s="303" customFormat="1" ht="14.25">
      <c r="A308" s="384"/>
      <c r="B308" s="384"/>
      <c r="C308" s="384"/>
      <c r="D308" s="384"/>
      <c r="E308" s="384"/>
      <c r="F308" s="384"/>
      <c r="G308" s="388"/>
      <c r="H308" s="389"/>
      <c r="I308" s="388"/>
      <c r="J308" s="391"/>
      <c r="K308" s="392"/>
      <c r="L308" s="392"/>
      <c r="M308" s="392"/>
      <c r="N308" s="388"/>
      <c r="O308" s="388"/>
      <c r="P308" s="392"/>
      <c r="Q308" s="394"/>
      <c r="R308" s="392"/>
      <c r="S308" s="395"/>
      <c r="T308" s="396"/>
      <c r="U308" s="396"/>
      <c r="V308" s="396"/>
      <c r="W308" s="396"/>
      <c r="X308" s="397"/>
      <c r="Y308" s="339"/>
      <c r="Z308" s="339"/>
      <c r="AA308" s="339"/>
    </row>
    <row r="309" spans="1:27" s="303" customFormat="1" ht="14.25">
      <c r="A309" s="384"/>
      <c r="B309" s="384"/>
      <c r="C309" s="384"/>
      <c r="D309" s="384"/>
      <c r="E309" s="384"/>
      <c r="F309" s="384"/>
      <c r="G309" s="387"/>
      <c r="H309" s="549"/>
      <c r="I309" s="387"/>
      <c r="J309" s="550"/>
      <c r="K309" s="551"/>
      <c r="L309" s="551"/>
      <c r="M309" s="551"/>
      <c r="N309" s="387"/>
      <c r="O309" s="387"/>
      <c r="P309" s="551"/>
      <c r="Q309" s="394"/>
      <c r="R309" s="551"/>
      <c r="S309" s="395"/>
      <c r="T309" s="395"/>
      <c r="U309" s="395"/>
      <c r="V309" s="395"/>
      <c r="W309" s="395"/>
      <c r="X309" s="622"/>
      <c r="Y309" s="458"/>
      <c r="Z309" s="458"/>
      <c r="AA309" s="458"/>
    </row>
    <row r="310" spans="1:27" s="303" customFormat="1" ht="14.25">
      <c r="A310" s="384"/>
      <c r="B310" s="384"/>
      <c r="C310" s="384"/>
      <c r="D310" s="384"/>
      <c r="E310" s="384"/>
      <c r="F310" s="384"/>
      <c r="G310" s="388"/>
      <c r="H310" s="389"/>
      <c r="I310" s="388"/>
      <c r="J310" s="391"/>
      <c r="K310" s="392"/>
      <c r="L310" s="392"/>
      <c r="M310" s="392"/>
      <c r="N310" s="388"/>
      <c r="O310" s="388"/>
      <c r="P310" s="392"/>
      <c r="Q310" s="394"/>
      <c r="R310" s="392"/>
      <c r="S310" s="395"/>
      <c r="T310" s="396"/>
      <c r="U310" s="396"/>
      <c r="V310" s="396"/>
      <c r="W310" s="396"/>
      <c r="X310" s="397"/>
      <c r="Y310" s="339"/>
      <c r="Z310" s="339"/>
      <c r="AA310" s="339"/>
    </row>
    <row r="311" spans="1:27" s="303" customFormat="1" ht="14.25">
      <c r="A311" s="384"/>
      <c r="B311" s="384"/>
      <c r="C311" s="384"/>
      <c r="D311" s="384"/>
      <c r="E311" s="384"/>
      <c r="F311" s="384"/>
      <c r="G311" s="387"/>
      <c r="H311" s="549"/>
      <c r="I311" s="387"/>
      <c r="J311" s="550"/>
      <c r="K311" s="551"/>
      <c r="L311" s="551"/>
      <c r="M311" s="551"/>
      <c r="N311" s="387"/>
      <c r="O311" s="387"/>
      <c r="P311" s="551"/>
      <c r="Q311" s="394"/>
      <c r="R311" s="551"/>
      <c r="S311" s="395"/>
      <c r="T311" s="395"/>
      <c r="U311" s="395"/>
      <c r="V311" s="395"/>
      <c r="W311" s="395"/>
      <c r="X311" s="622"/>
      <c r="Y311" s="458"/>
      <c r="Z311" s="458"/>
      <c r="AA311" s="458"/>
    </row>
    <row r="312" spans="1:27" s="303" customFormat="1" ht="14.25">
      <c r="A312" s="384"/>
      <c r="B312" s="384"/>
      <c r="C312" s="384"/>
      <c r="D312" s="384"/>
      <c r="E312" s="384"/>
      <c r="F312" s="384"/>
      <c r="G312" s="388"/>
      <c r="H312" s="389"/>
      <c r="I312" s="388"/>
      <c r="J312" s="391"/>
      <c r="K312" s="392"/>
      <c r="L312" s="392"/>
      <c r="M312" s="392"/>
      <c r="N312" s="388"/>
      <c r="O312" s="388"/>
      <c r="P312" s="392"/>
      <c r="Q312" s="394"/>
      <c r="R312" s="392"/>
      <c r="S312" s="395"/>
      <c r="T312" s="396"/>
      <c r="U312" s="396"/>
      <c r="V312" s="396"/>
      <c r="W312" s="396"/>
      <c r="X312" s="397"/>
      <c r="Y312" s="339"/>
      <c r="Z312" s="339"/>
      <c r="AA312" s="339"/>
    </row>
    <row r="313" spans="1:27" s="303" customFormat="1" ht="14.25">
      <c r="A313" s="384"/>
      <c r="B313" s="384"/>
      <c r="C313" s="384"/>
      <c r="D313" s="384"/>
      <c r="E313" s="384"/>
      <c r="F313" s="384"/>
      <c r="G313" s="387"/>
      <c r="H313" s="549"/>
      <c r="I313" s="387"/>
      <c r="J313" s="550"/>
      <c r="K313" s="551"/>
      <c r="L313" s="551"/>
      <c r="M313" s="551"/>
      <c r="N313" s="387"/>
      <c r="O313" s="387"/>
      <c r="P313" s="551"/>
      <c r="Q313" s="394"/>
      <c r="R313" s="551"/>
      <c r="S313" s="395"/>
      <c r="T313" s="395"/>
      <c r="U313" s="395"/>
      <c r="V313" s="395"/>
      <c r="W313" s="395"/>
      <c r="X313" s="622"/>
      <c r="Y313" s="458"/>
      <c r="Z313" s="458"/>
      <c r="AA313" s="458"/>
    </row>
    <row r="314" spans="1:27" s="303" customFormat="1" ht="14.25">
      <c r="A314" s="384"/>
      <c r="B314" s="384"/>
      <c r="C314" s="384"/>
      <c r="D314" s="384"/>
      <c r="E314" s="384"/>
      <c r="F314" s="384"/>
      <c r="G314" s="388"/>
      <c r="H314" s="389"/>
      <c r="I314" s="388"/>
      <c r="J314" s="391"/>
      <c r="K314" s="392"/>
      <c r="L314" s="392"/>
      <c r="M314" s="392"/>
      <c r="N314" s="388"/>
      <c r="O314" s="388"/>
      <c r="P314" s="392"/>
      <c r="Q314" s="394"/>
      <c r="R314" s="392"/>
      <c r="S314" s="395"/>
      <c r="T314" s="396"/>
      <c r="U314" s="396"/>
      <c r="V314" s="396"/>
      <c r="W314" s="396"/>
      <c r="X314" s="397"/>
      <c r="Y314" s="339"/>
      <c r="Z314" s="339"/>
      <c r="AA314" s="339"/>
    </row>
    <row r="315" spans="1:27" s="303" customFormat="1" ht="14.25">
      <c r="A315" s="384"/>
      <c r="B315" s="384"/>
      <c r="C315" s="384"/>
      <c r="D315" s="384"/>
      <c r="E315" s="384"/>
      <c r="F315" s="384"/>
      <c r="G315" s="387"/>
      <c r="H315" s="549"/>
      <c r="I315" s="387"/>
      <c r="J315" s="550"/>
      <c r="K315" s="551"/>
      <c r="L315" s="551"/>
      <c r="M315" s="551"/>
      <c r="N315" s="387"/>
      <c r="O315" s="387"/>
      <c r="P315" s="551"/>
      <c r="Q315" s="394"/>
      <c r="R315" s="551"/>
      <c r="S315" s="395"/>
      <c r="T315" s="395"/>
      <c r="U315" s="395"/>
      <c r="V315" s="395"/>
      <c r="W315" s="395"/>
      <c r="X315" s="622"/>
      <c r="Y315" s="458"/>
      <c r="Z315" s="458"/>
      <c r="AA315" s="458"/>
    </row>
    <row r="316" spans="1:27" s="303" customFormat="1" ht="14.25">
      <c r="A316" s="384"/>
      <c r="B316" s="384"/>
      <c r="C316" s="384"/>
      <c r="D316" s="384"/>
      <c r="E316" s="384"/>
      <c r="F316" s="384"/>
      <c r="G316" s="388"/>
      <c r="H316" s="389"/>
      <c r="I316" s="388"/>
      <c r="J316" s="391"/>
      <c r="K316" s="392"/>
      <c r="L316" s="392"/>
      <c r="M316" s="392"/>
      <c r="N316" s="388"/>
      <c r="O316" s="388"/>
      <c r="P316" s="392"/>
      <c r="Q316" s="394"/>
      <c r="R316" s="392"/>
      <c r="S316" s="395"/>
      <c r="T316" s="396"/>
      <c r="U316" s="396"/>
      <c r="V316" s="396"/>
      <c r="W316" s="396"/>
      <c r="X316" s="397"/>
      <c r="Y316" s="339"/>
      <c r="Z316" s="339"/>
      <c r="AA316" s="339"/>
    </row>
    <row r="317" spans="1:27" s="303" customFormat="1" ht="14.25">
      <c r="A317" s="384"/>
      <c r="B317" s="384"/>
      <c r="C317" s="384"/>
      <c r="D317" s="384"/>
      <c r="E317" s="384"/>
      <c r="F317" s="384"/>
      <c r="G317" s="387"/>
      <c r="H317" s="549"/>
      <c r="I317" s="387"/>
      <c r="J317" s="550"/>
      <c r="K317" s="551"/>
      <c r="L317" s="551"/>
      <c r="M317" s="551"/>
      <c r="N317" s="387"/>
      <c r="O317" s="387"/>
      <c r="P317" s="551"/>
      <c r="Q317" s="394"/>
      <c r="R317" s="551"/>
      <c r="S317" s="395"/>
      <c r="T317" s="395"/>
      <c r="U317" s="395"/>
      <c r="V317" s="395"/>
      <c r="W317" s="395"/>
      <c r="X317" s="622"/>
      <c r="Y317" s="458"/>
      <c r="Z317" s="458"/>
      <c r="AA317" s="458"/>
    </row>
    <row r="318" spans="1:27" s="303" customFormat="1" ht="14.25">
      <c r="A318" s="384"/>
      <c r="B318" s="384"/>
      <c r="C318" s="384"/>
      <c r="D318" s="384"/>
      <c r="E318" s="384"/>
      <c r="F318" s="384"/>
      <c r="G318" s="388"/>
      <c r="H318" s="389"/>
      <c r="I318" s="388"/>
      <c r="J318" s="391"/>
      <c r="K318" s="392"/>
      <c r="L318" s="392"/>
      <c r="M318" s="392"/>
      <c r="N318" s="388"/>
      <c r="O318" s="388"/>
      <c r="P318" s="392"/>
      <c r="Q318" s="394"/>
      <c r="R318" s="392"/>
      <c r="S318" s="395"/>
      <c r="T318" s="396"/>
      <c r="U318" s="396"/>
      <c r="V318" s="396"/>
      <c r="W318" s="396"/>
      <c r="X318" s="397"/>
      <c r="Y318" s="339"/>
      <c r="Z318" s="339"/>
      <c r="AA318" s="339"/>
    </row>
    <row r="319" spans="1:27" s="303" customFormat="1" ht="14.25">
      <c r="A319" s="384"/>
      <c r="B319" s="384"/>
      <c r="C319" s="384"/>
      <c r="D319" s="384"/>
      <c r="E319" s="384"/>
      <c r="F319" s="384"/>
      <c r="G319" s="387"/>
      <c r="H319" s="549"/>
      <c r="I319" s="387"/>
      <c r="J319" s="550"/>
      <c r="K319" s="551"/>
      <c r="L319" s="551"/>
      <c r="M319" s="551"/>
      <c r="N319" s="387"/>
      <c r="O319" s="387"/>
      <c r="P319" s="551"/>
      <c r="Q319" s="394"/>
      <c r="R319" s="551"/>
      <c r="S319" s="395"/>
      <c r="T319" s="395"/>
      <c r="U319" s="395"/>
      <c r="V319" s="395"/>
      <c r="W319" s="395"/>
      <c r="X319" s="622"/>
      <c r="Y319" s="458"/>
      <c r="Z319" s="458"/>
      <c r="AA319" s="458"/>
    </row>
    <row r="320" spans="1:27" s="303" customFormat="1" ht="14.25">
      <c r="A320" s="384"/>
      <c r="B320" s="384"/>
      <c r="C320" s="384"/>
      <c r="D320" s="384"/>
      <c r="E320" s="384"/>
      <c r="F320" s="384"/>
      <c r="G320" s="388"/>
      <c r="H320" s="389"/>
      <c r="I320" s="388"/>
      <c r="J320" s="391"/>
      <c r="K320" s="392"/>
      <c r="L320" s="392"/>
      <c r="M320" s="392"/>
      <c r="N320" s="388"/>
      <c r="O320" s="388"/>
      <c r="P320" s="392"/>
      <c r="Q320" s="394"/>
      <c r="R320" s="392"/>
      <c r="S320" s="395"/>
      <c r="T320" s="396"/>
      <c r="U320" s="396"/>
      <c r="V320" s="396"/>
      <c r="W320" s="396"/>
      <c r="X320" s="397"/>
      <c r="Y320" s="339"/>
      <c r="Z320" s="339"/>
      <c r="AA320" s="339"/>
    </row>
    <row r="321" spans="1:27" s="303" customFormat="1" ht="14.25">
      <c r="A321" s="384"/>
      <c r="B321" s="384"/>
      <c r="C321" s="384"/>
      <c r="D321" s="384"/>
      <c r="E321" s="384"/>
      <c r="F321" s="384"/>
      <c r="G321" s="387"/>
      <c r="H321" s="549"/>
      <c r="I321" s="387"/>
      <c r="J321" s="550"/>
      <c r="K321" s="551"/>
      <c r="L321" s="551"/>
      <c r="M321" s="551"/>
      <c r="N321" s="387"/>
      <c r="O321" s="387"/>
      <c r="P321" s="551"/>
      <c r="Q321" s="394"/>
      <c r="R321" s="551"/>
      <c r="S321" s="395"/>
      <c r="T321" s="395"/>
      <c r="U321" s="395"/>
      <c r="V321" s="395"/>
      <c r="W321" s="395"/>
      <c r="X321" s="622"/>
      <c r="Y321" s="458"/>
      <c r="Z321" s="458"/>
      <c r="AA321" s="458"/>
    </row>
    <row r="322" spans="1:27" s="303" customFormat="1" ht="14.25">
      <c r="A322" s="384"/>
      <c r="B322" s="384"/>
      <c r="C322" s="384"/>
      <c r="D322" s="384"/>
      <c r="E322" s="384"/>
      <c r="F322" s="384"/>
      <c r="G322" s="388"/>
      <c r="H322" s="389"/>
      <c r="I322" s="388"/>
      <c r="J322" s="391"/>
      <c r="K322" s="392"/>
      <c r="L322" s="392"/>
      <c r="M322" s="392"/>
      <c r="N322" s="388"/>
      <c r="O322" s="388"/>
      <c r="P322" s="392"/>
      <c r="Q322" s="394"/>
      <c r="R322" s="392"/>
      <c r="S322" s="395"/>
      <c r="T322" s="396"/>
      <c r="U322" s="396"/>
      <c r="V322" s="396"/>
      <c r="W322" s="396"/>
      <c r="X322" s="397"/>
      <c r="Y322" s="339"/>
      <c r="Z322" s="339"/>
      <c r="AA322" s="339"/>
    </row>
    <row r="323" spans="1:27" s="303" customFormat="1" ht="14.25">
      <c r="A323" s="384"/>
      <c r="B323" s="384"/>
      <c r="C323" s="384"/>
      <c r="D323" s="384"/>
      <c r="E323" s="384"/>
      <c r="F323" s="384"/>
      <c r="G323" s="387"/>
      <c r="H323" s="549"/>
      <c r="I323" s="387"/>
      <c r="J323" s="550"/>
      <c r="K323" s="551"/>
      <c r="L323" s="551"/>
      <c r="M323" s="551"/>
      <c r="N323" s="387"/>
      <c r="O323" s="387"/>
      <c r="P323" s="551"/>
      <c r="Q323" s="394"/>
      <c r="R323" s="551"/>
      <c r="S323" s="395"/>
      <c r="T323" s="395"/>
      <c r="U323" s="395"/>
      <c r="V323" s="395"/>
      <c r="W323" s="395"/>
      <c r="X323" s="622"/>
      <c r="Y323" s="458"/>
      <c r="Z323" s="458"/>
      <c r="AA323" s="458"/>
    </row>
    <row r="324" spans="1:27" s="303" customFormat="1" ht="14.25">
      <c r="A324" s="384"/>
      <c r="B324" s="384"/>
      <c r="C324" s="384"/>
      <c r="D324" s="384"/>
      <c r="E324" s="384"/>
      <c r="F324" s="384"/>
      <c r="G324" s="388"/>
      <c r="H324" s="389"/>
      <c r="I324" s="388"/>
      <c r="J324" s="391"/>
      <c r="K324" s="392"/>
      <c r="L324" s="392"/>
      <c r="M324" s="392"/>
      <c r="N324" s="388"/>
      <c r="O324" s="388"/>
      <c r="P324" s="392"/>
      <c r="Q324" s="394"/>
      <c r="R324" s="392"/>
      <c r="S324" s="395"/>
      <c r="T324" s="396"/>
      <c r="U324" s="396"/>
      <c r="V324" s="396"/>
      <c r="W324" s="396"/>
      <c r="X324" s="397"/>
      <c r="Y324" s="339"/>
      <c r="Z324" s="339"/>
      <c r="AA324" s="339"/>
    </row>
    <row r="325" spans="1:27" s="303" customFormat="1" ht="14.25">
      <c r="A325" s="384"/>
      <c r="B325" s="384"/>
      <c r="C325" s="384"/>
      <c r="D325" s="384"/>
      <c r="E325" s="384"/>
      <c r="F325" s="384"/>
      <c r="G325" s="387"/>
      <c r="H325" s="549"/>
      <c r="I325" s="387"/>
      <c r="J325" s="550"/>
      <c r="K325" s="551"/>
      <c r="L325" s="551"/>
      <c r="M325" s="551"/>
      <c r="N325" s="387"/>
      <c r="O325" s="387"/>
      <c r="P325" s="551"/>
      <c r="Q325" s="394"/>
      <c r="R325" s="551"/>
      <c r="S325" s="395"/>
      <c r="T325" s="395"/>
      <c r="U325" s="395"/>
      <c r="V325" s="395"/>
      <c r="W325" s="395"/>
      <c r="X325" s="622"/>
      <c r="Y325" s="458"/>
      <c r="Z325" s="458"/>
      <c r="AA325" s="458"/>
    </row>
    <row r="326" spans="1:27" s="303" customFormat="1" ht="14.25">
      <c r="A326" s="384"/>
      <c r="B326" s="384"/>
      <c r="C326" s="384"/>
      <c r="D326" s="384"/>
      <c r="E326" s="384"/>
      <c r="F326" s="384"/>
      <c r="G326" s="388"/>
      <c r="H326" s="389"/>
      <c r="I326" s="388"/>
      <c r="J326" s="391"/>
      <c r="K326" s="392"/>
      <c r="L326" s="392"/>
      <c r="M326" s="392"/>
      <c r="N326" s="388"/>
      <c r="O326" s="388"/>
      <c r="P326" s="392"/>
      <c r="Q326" s="394"/>
      <c r="R326" s="392"/>
      <c r="S326" s="395"/>
      <c r="T326" s="396"/>
      <c r="U326" s="396"/>
      <c r="V326" s="396"/>
      <c r="W326" s="396"/>
      <c r="X326" s="397"/>
      <c r="Y326" s="339"/>
      <c r="Z326" s="339"/>
      <c r="AA326" s="339"/>
    </row>
    <row r="327" spans="1:27" s="303" customFormat="1" ht="14.25">
      <c r="A327" s="384"/>
      <c r="B327" s="384"/>
      <c r="C327" s="384"/>
      <c r="D327" s="384"/>
      <c r="E327" s="384"/>
      <c r="F327" s="384"/>
      <c r="G327" s="387"/>
      <c r="H327" s="549"/>
      <c r="I327" s="387"/>
      <c r="J327" s="550"/>
      <c r="K327" s="551"/>
      <c r="L327" s="551"/>
      <c r="M327" s="551"/>
      <c r="N327" s="387"/>
      <c r="O327" s="387"/>
      <c r="P327" s="551"/>
      <c r="Q327" s="394"/>
      <c r="R327" s="551"/>
      <c r="S327" s="395"/>
      <c r="T327" s="395"/>
      <c r="U327" s="395"/>
      <c r="V327" s="395"/>
      <c r="W327" s="395"/>
      <c r="X327" s="622"/>
      <c r="Y327" s="458"/>
      <c r="Z327" s="458"/>
      <c r="AA327" s="458"/>
    </row>
    <row r="328" spans="1:27" s="303" customFormat="1" ht="14.25">
      <c r="A328" s="384"/>
      <c r="B328" s="384"/>
      <c r="C328" s="384"/>
      <c r="D328" s="384"/>
      <c r="E328" s="384"/>
      <c r="F328" s="384"/>
      <c r="G328" s="388"/>
      <c r="H328" s="389"/>
      <c r="I328" s="388"/>
      <c r="J328" s="391"/>
      <c r="K328" s="392"/>
      <c r="L328" s="392"/>
      <c r="M328" s="392"/>
      <c r="N328" s="388"/>
      <c r="O328" s="388"/>
      <c r="P328" s="392"/>
      <c r="Q328" s="394"/>
      <c r="R328" s="392"/>
      <c r="S328" s="395"/>
      <c r="T328" s="396"/>
      <c r="U328" s="396"/>
      <c r="V328" s="396"/>
      <c r="W328" s="396"/>
      <c r="X328" s="397"/>
      <c r="Y328" s="339"/>
      <c r="Z328" s="339"/>
      <c r="AA328" s="339"/>
    </row>
    <row r="329" spans="1:27" s="303" customFormat="1" ht="14.25">
      <c r="A329" s="384"/>
      <c r="B329" s="384"/>
      <c r="C329" s="384"/>
      <c r="D329" s="384"/>
      <c r="E329" s="384"/>
      <c r="F329" s="384"/>
      <c r="G329" s="387"/>
      <c r="H329" s="549"/>
      <c r="I329" s="387"/>
      <c r="J329" s="550"/>
      <c r="K329" s="551"/>
      <c r="L329" s="551"/>
      <c r="M329" s="551"/>
      <c r="N329" s="387"/>
      <c r="O329" s="387"/>
      <c r="P329" s="551"/>
      <c r="Q329" s="394"/>
      <c r="R329" s="551"/>
      <c r="S329" s="395"/>
      <c r="T329" s="395"/>
      <c r="U329" s="395"/>
      <c r="V329" s="395"/>
      <c r="W329" s="395"/>
      <c r="X329" s="622"/>
      <c r="Y329" s="458"/>
      <c r="Z329" s="458"/>
      <c r="AA329" s="458"/>
    </row>
    <row r="330" spans="1:27" s="303" customFormat="1" ht="14.25">
      <c r="A330" s="384"/>
      <c r="B330" s="384"/>
      <c r="C330" s="384"/>
      <c r="D330" s="384"/>
      <c r="E330" s="384"/>
      <c r="F330" s="384"/>
      <c r="G330" s="388"/>
      <c r="H330" s="389"/>
      <c r="I330" s="388"/>
      <c r="J330" s="391"/>
      <c r="K330" s="392"/>
      <c r="L330" s="392"/>
      <c r="M330" s="392"/>
      <c r="N330" s="388"/>
      <c r="O330" s="388"/>
      <c r="P330" s="392"/>
      <c r="Q330" s="394"/>
      <c r="R330" s="392"/>
      <c r="S330" s="395"/>
      <c r="T330" s="396"/>
      <c r="U330" s="396"/>
      <c r="V330" s="396"/>
      <c r="W330" s="396"/>
      <c r="X330" s="397"/>
      <c r="Y330" s="339"/>
      <c r="Z330" s="339"/>
      <c r="AA330" s="339"/>
    </row>
    <row r="331" spans="1:27" s="303" customFormat="1" ht="14.25">
      <c r="A331" s="384"/>
      <c r="B331" s="384"/>
      <c r="C331" s="384"/>
      <c r="D331" s="384"/>
      <c r="E331" s="384"/>
      <c r="F331" s="384"/>
      <c r="G331" s="387"/>
      <c r="H331" s="549"/>
      <c r="I331" s="387"/>
      <c r="J331" s="550"/>
      <c r="K331" s="551"/>
      <c r="L331" s="551"/>
      <c r="M331" s="551"/>
      <c r="N331" s="387"/>
      <c r="O331" s="387"/>
      <c r="P331" s="551"/>
      <c r="Q331" s="394"/>
      <c r="R331" s="551"/>
      <c r="S331" s="395"/>
      <c r="T331" s="395"/>
      <c r="U331" s="395"/>
      <c r="V331" s="395"/>
      <c r="W331" s="395"/>
      <c r="X331" s="622"/>
      <c r="Y331" s="458"/>
      <c r="Z331" s="458"/>
      <c r="AA331" s="458"/>
    </row>
    <row r="332" spans="1:27" s="303" customFormat="1" ht="14.25">
      <c r="A332" s="384"/>
      <c r="B332" s="384"/>
      <c r="C332" s="384"/>
      <c r="D332" s="384"/>
      <c r="E332" s="384"/>
      <c r="F332" s="384"/>
      <c r="G332" s="388"/>
      <c r="H332" s="389"/>
      <c r="I332" s="388"/>
      <c r="J332" s="391"/>
      <c r="K332" s="392"/>
      <c r="L332" s="392"/>
      <c r="M332" s="392"/>
      <c r="N332" s="388"/>
      <c r="O332" s="388"/>
      <c r="P332" s="392"/>
      <c r="Q332" s="394"/>
      <c r="R332" s="392"/>
      <c r="S332" s="395"/>
      <c r="T332" s="396"/>
      <c r="U332" s="396"/>
      <c r="V332" s="396"/>
      <c r="W332" s="396"/>
      <c r="X332" s="397"/>
      <c r="Y332" s="339"/>
      <c r="Z332" s="339"/>
      <c r="AA332" s="339"/>
    </row>
    <row r="333" spans="1:27" s="303" customFormat="1" ht="14.25">
      <c r="A333" s="384"/>
      <c r="B333" s="384"/>
      <c r="C333" s="384"/>
      <c r="D333" s="384"/>
      <c r="E333" s="384"/>
      <c r="F333" s="384"/>
      <c r="G333" s="387"/>
      <c r="H333" s="549"/>
      <c r="I333" s="387"/>
      <c r="J333" s="550"/>
      <c r="K333" s="551"/>
      <c r="L333" s="551"/>
      <c r="M333" s="551"/>
      <c r="N333" s="387"/>
      <c r="O333" s="387"/>
      <c r="P333" s="551"/>
      <c r="Q333" s="394"/>
      <c r="R333" s="551"/>
      <c r="S333" s="395"/>
      <c r="T333" s="395"/>
      <c r="U333" s="395"/>
      <c r="V333" s="395"/>
      <c r="W333" s="395"/>
      <c r="X333" s="622"/>
      <c r="Y333" s="458"/>
      <c r="Z333" s="458"/>
      <c r="AA333" s="458"/>
    </row>
    <row r="334" spans="1:27" s="303" customFormat="1" ht="14.25">
      <c r="A334" s="384"/>
      <c r="B334" s="384"/>
      <c r="C334" s="384"/>
      <c r="D334" s="384"/>
      <c r="E334" s="384"/>
      <c r="F334" s="384"/>
      <c r="G334" s="388"/>
      <c r="H334" s="389"/>
      <c r="I334" s="388"/>
      <c r="J334" s="391"/>
      <c r="K334" s="392"/>
      <c r="L334" s="392"/>
      <c r="M334" s="392"/>
      <c r="N334" s="388"/>
      <c r="O334" s="388"/>
      <c r="P334" s="392"/>
      <c r="Q334" s="394"/>
      <c r="R334" s="392"/>
      <c r="S334" s="395"/>
      <c r="T334" s="396"/>
      <c r="U334" s="396"/>
      <c r="V334" s="396"/>
      <c r="W334" s="396"/>
      <c r="X334" s="397"/>
      <c r="Y334" s="339"/>
      <c r="Z334" s="339"/>
      <c r="AA334" s="339"/>
    </row>
    <row r="335" spans="1:27" s="303" customFormat="1" ht="14.25">
      <c r="A335" s="384"/>
      <c r="B335" s="384"/>
      <c r="C335" s="384"/>
      <c r="D335" s="384"/>
      <c r="E335" s="384"/>
      <c r="F335" s="384"/>
      <c r="G335" s="387"/>
      <c r="H335" s="549"/>
      <c r="I335" s="387"/>
      <c r="J335" s="550"/>
      <c r="K335" s="551"/>
      <c r="L335" s="551"/>
      <c r="M335" s="551"/>
      <c r="N335" s="387"/>
      <c r="O335" s="387"/>
      <c r="P335" s="551"/>
      <c r="Q335" s="394"/>
      <c r="R335" s="551"/>
      <c r="S335" s="395"/>
      <c r="T335" s="395"/>
      <c r="U335" s="395"/>
      <c r="V335" s="395"/>
      <c r="W335" s="395"/>
      <c r="X335" s="622"/>
      <c r="Y335" s="458"/>
      <c r="Z335" s="458"/>
      <c r="AA335" s="458"/>
    </row>
    <row r="336" spans="1:27" s="303" customFormat="1" ht="14.25">
      <c r="A336" s="384"/>
      <c r="B336" s="384"/>
      <c r="C336" s="384"/>
      <c r="D336" s="384"/>
      <c r="E336" s="384"/>
      <c r="F336" s="384"/>
      <c r="G336" s="388"/>
      <c r="H336" s="389"/>
      <c r="I336" s="388"/>
      <c r="J336" s="391"/>
      <c r="K336" s="392"/>
      <c r="L336" s="392"/>
      <c r="M336" s="392"/>
      <c r="N336" s="388"/>
      <c r="O336" s="388"/>
      <c r="P336" s="392"/>
      <c r="Q336" s="394"/>
      <c r="R336" s="392"/>
      <c r="S336" s="395"/>
      <c r="T336" s="396"/>
      <c r="U336" s="396"/>
      <c r="V336" s="396"/>
      <c r="W336" s="396"/>
      <c r="X336" s="397"/>
      <c r="Y336" s="339"/>
      <c r="Z336" s="339"/>
      <c r="AA336" s="339"/>
    </row>
    <row r="337" spans="1:27" s="303" customFormat="1" ht="14.25">
      <c r="A337" s="384"/>
      <c r="B337" s="384"/>
      <c r="C337" s="384"/>
      <c r="D337" s="384"/>
      <c r="E337" s="384"/>
      <c r="F337" s="384"/>
      <c r="G337" s="387"/>
      <c r="H337" s="549"/>
      <c r="I337" s="387"/>
      <c r="J337" s="550"/>
      <c r="K337" s="551"/>
      <c r="L337" s="551"/>
      <c r="M337" s="551"/>
      <c r="N337" s="387"/>
      <c r="O337" s="387"/>
      <c r="P337" s="551"/>
      <c r="Q337" s="394"/>
      <c r="R337" s="551"/>
      <c r="S337" s="395"/>
      <c r="T337" s="395"/>
      <c r="U337" s="395"/>
      <c r="V337" s="395"/>
      <c r="W337" s="395"/>
      <c r="X337" s="622"/>
      <c r="Y337" s="458"/>
      <c r="Z337" s="458"/>
      <c r="AA337" s="458"/>
    </row>
    <row r="338" spans="1:27" s="303" customFormat="1" ht="14.25">
      <c r="A338" s="384"/>
      <c r="B338" s="384"/>
      <c r="C338" s="384"/>
      <c r="D338" s="384"/>
      <c r="E338" s="384"/>
      <c r="F338" s="384"/>
      <c r="G338" s="388"/>
      <c r="H338" s="389"/>
      <c r="I338" s="388"/>
      <c r="J338" s="391"/>
      <c r="K338" s="392"/>
      <c r="L338" s="392"/>
      <c r="M338" s="392"/>
      <c r="N338" s="388"/>
      <c r="O338" s="388"/>
      <c r="P338" s="392"/>
      <c r="Q338" s="394"/>
      <c r="R338" s="392"/>
      <c r="S338" s="395"/>
      <c r="T338" s="396"/>
      <c r="U338" s="396"/>
      <c r="V338" s="396"/>
      <c r="W338" s="396"/>
      <c r="X338" s="397"/>
      <c r="Y338" s="339"/>
      <c r="Z338" s="339"/>
      <c r="AA338" s="339"/>
    </row>
    <row r="339" spans="1:27" s="303" customFormat="1" ht="14.25">
      <c r="A339" s="384"/>
      <c r="B339" s="384"/>
      <c r="C339" s="384"/>
      <c r="D339" s="384"/>
      <c r="E339" s="384"/>
      <c r="F339" s="384"/>
      <c r="G339" s="387"/>
      <c r="H339" s="549"/>
      <c r="I339" s="387"/>
      <c r="J339" s="550"/>
      <c r="K339" s="551"/>
      <c r="L339" s="551"/>
      <c r="M339" s="551"/>
      <c r="N339" s="387"/>
      <c r="O339" s="387"/>
      <c r="P339" s="551"/>
      <c r="Q339" s="394"/>
      <c r="R339" s="551"/>
      <c r="S339" s="395"/>
      <c r="T339" s="395"/>
      <c r="U339" s="395"/>
      <c r="V339" s="395"/>
      <c r="W339" s="395"/>
      <c r="X339" s="622"/>
      <c r="Y339" s="458"/>
      <c r="Z339" s="458"/>
      <c r="AA339" s="458"/>
    </row>
    <row r="340" spans="1:27" s="303" customFormat="1" ht="14.25">
      <c r="A340" s="384"/>
      <c r="B340" s="384"/>
      <c r="C340" s="384"/>
      <c r="D340" s="384"/>
      <c r="E340" s="384"/>
      <c r="F340" s="384"/>
      <c r="G340" s="388"/>
      <c r="H340" s="389"/>
      <c r="I340" s="388"/>
      <c r="J340" s="391"/>
      <c r="K340" s="392"/>
      <c r="L340" s="392"/>
      <c r="M340" s="392"/>
      <c r="N340" s="388"/>
      <c r="O340" s="388"/>
      <c r="P340" s="392"/>
      <c r="Q340" s="394"/>
      <c r="R340" s="392"/>
      <c r="S340" s="395"/>
      <c r="T340" s="396"/>
      <c r="U340" s="396"/>
      <c r="V340" s="396"/>
      <c r="W340" s="396"/>
      <c r="X340" s="397"/>
      <c r="Y340" s="339"/>
      <c r="Z340" s="339"/>
      <c r="AA340" s="339"/>
    </row>
    <row r="341" spans="1:27" s="303" customFormat="1" ht="14.25">
      <c r="A341" s="384"/>
      <c r="B341" s="384"/>
      <c r="C341" s="384"/>
      <c r="D341" s="384"/>
      <c r="E341" s="384"/>
      <c r="F341" s="384"/>
      <c r="G341" s="387"/>
      <c r="H341" s="549"/>
      <c r="I341" s="387"/>
      <c r="J341" s="550"/>
      <c r="K341" s="551"/>
      <c r="L341" s="551"/>
      <c r="M341" s="551"/>
      <c r="N341" s="387"/>
      <c r="O341" s="387"/>
      <c r="P341" s="551"/>
      <c r="Q341" s="394"/>
      <c r="R341" s="551"/>
      <c r="S341" s="395"/>
      <c r="T341" s="395"/>
      <c r="U341" s="395"/>
      <c r="V341" s="395"/>
      <c r="W341" s="395"/>
      <c r="X341" s="622"/>
      <c r="Y341" s="458"/>
      <c r="Z341" s="458"/>
      <c r="AA341" s="458"/>
    </row>
    <row r="342" spans="1:27" s="303" customFormat="1" ht="14.25">
      <c r="A342" s="384"/>
      <c r="B342" s="384"/>
      <c r="C342" s="384"/>
      <c r="D342" s="384"/>
      <c r="E342" s="384"/>
      <c r="F342" s="384"/>
      <c r="G342" s="388"/>
      <c r="H342" s="389"/>
      <c r="I342" s="388"/>
      <c r="J342" s="391"/>
      <c r="K342" s="392"/>
      <c r="L342" s="392"/>
      <c r="M342" s="392"/>
      <c r="N342" s="388"/>
      <c r="O342" s="388"/>
      <c r="P342" s="392"/>
      <c r="Q342" s="394"/>
      <c r="R342" s="392"/>
      <c r="S342" s="395"/>
      <c r="T342" s="396"/>
      <c r="U342" s="396"/>
      <c r="V342" s="396"/>
      <c r="W342" s="396"/>
      <c r="X342" s="397"/>
      <c r="Y342" s="339"/>
      <c r="Z342" s="339"/>
      <c r="AA342" s="339"/>
    </row>
    <row r="343" spans="1:27" s="303" customFormat="1" ht="14.25">
      <c r="A343" s="384"/>
      <c r="B343" s="384"/>
      <c r="C343" s="384"/>
      <c r="D343" s="384"/>
      <c r="E343" s="384"/>
      <c r="F343" s="384"/>
      <c r="G343" s="387"/>
      <c r="H343" s="549"/>
      <c r="I343" s="387"/>
      <c r="J343" s="550"/>
      <c r="K343" s="551"/>
      <c r="L343" s="551"/>
      <c r="M343" s="551"/>
      <c r="N343" s="387"/>
      <c r="O343" s="387"/>
      <c r="P343" s="551"/>
      <c r="Q343" s="394"/>
      <c r="R343" s="551"/>
      <c r="S343" s="395"/>
      <c r="T343" s="395"/>
      <c r="U343" s="395"/>
      <c r="V343" s="395"/>
      <c r="W343" s="395"/>
      <c r="X343" s="622"/>
      <c r="Y343" s="458"/>
      <c r="Z343" s="458"/>
      <c r="AA343" s="458"/>
    </row>
    <row r="344" spans="1:27" s="303" customFormat="1" ht="14.25">
      <c r="A344" s="384"/>
      <c r="B344" s="384"/>
      <c r="C344" s="384"/>
      <c r="D344" s="384"/>
      <c r="E344" s="384"/>
      <c r="F344" s="384"/>
      <c r="G344" s="388"/>
      <c r="H344" s="389"/>
      <c r="I344" s="388"/>
      <c r="J344" s="391"/>
      <c r="K344" s="392"/>
      <c r="L344" s="392"/>
      <c r="M344" s="392"/>
      <c r="N344" s="388"/>
      <c r="O344" s="388"/>
      <c r="P344" s="392"/>
      <c r="Q344" s="394"/>
      <c r="R344" s="392"/>
      <c r="S344" s="395"/>
      <c r="T344" s="396"/>
      <c r="U344" s="396"/>
      <c r="V344" s="396"/>
      <c r="W344" s="396"/>
      <c r="X344" s="397"/>
      <c r="Y344" s="339"/>
      <c r="Z344" s="339"/>
      <c r="AA344" s="339"/>
    </row>
    <row r="345" spans="1:27" s="303" customFormat="1" ht="14.25">
      <c r="A345" s="384"/>
      <c r="B345" s="384"/>
      <c r="C345" s="384"/>
      <c r="D345" s="384"/>
      <c r="E345" s="384"/>
      <c r="F345" s="384"/>
      <c r="G345" s="387"/>
      <c r="H345" s="549"/>
      <c r="I345" s="387"/>
      <c r="J345" s="550"/>
      <c r="K345" s="551"/>
      <c r="L345" s="551"/>
      <c r="M345" s="551"/>
      <c r="N345" s="387"/>
      <c r="O345" s="387"/>
      <c r="P345" s="551"/>
      <c r="Q345" s="394"/>
      <c r="R345" s="551"/>
      <c r="S345" s="395"/>
      <c r="T345" s="395"/>
      <c r="U345" s="395"/>
      <c r="V345" s="395"/>
      <c r="W345" s="395"/>
      <c r="X345" s="622"/>
      <c r="Y345" s="458"/>
      <c r="Z345" s="458"/>
      <c r="AA345" s="458"/>
    </row>
    <row r="346" spans="1:27" s="303" customFormat="1" ht="14.25">
      <c r="A346" s="384"/>
      <c r="B346" s="384"/>
      <c r="C346" s="384"/>
      <c r="D346" s="384"/>
      <c r="E346" s="384"/>
      <c r="F346" s="384"/>
      <c r="G346" s="388"/>
      <c r="H346" s="389"/>
      <c r="I346" s="388"/>
      <c r="J346" s="391"/>
      <c r="K346" s="392"/>
      <c r="L346" s="392"/>
      <c r="M346" s="392"/>
      <c r="N346" s="388"/>
      <c r="O346" s="388"/>
      <c r="P346" s="392"/>
      <c r="Q346" s="394"/>
      <c r="R346" s="392"/>
      <c r="S346" s="395"/>
      <c r="T346" s="396"/>
      <c r="U346" s="396"/>
      <c r="V346" s="396"/>
      <c r="W346" s="396"/>
      <c r="X346" s="397"/>
      <c r="Y346" s="339"/>
      <c r="Z346" s="339"/>
      <c r="AA346" s="339"/>
    </row>
    <row r="347" spans="1:27" s="303" customFormat="1" ht="14.25">
      <c r="A347" s="384"/>
      <c r="B347" s="384"/>
      <c r="C347" s="384"/>
      <c r="D347" s="384"/>
      <c r="E347" s="384"/>
      <c r="F347" s="384"/>
      <c r="G347" s="387"/>
      <c r="H347" s="549"/>
      <c r="I347" s="387"/>
      <c r="J347" s="550"/>
      <c r="K347" s="551"/>
      <c r="L347" s="551"/>
      <c r="M347" s="551"/>
      <c r="N347" s="387"/>
      <c r="O347" s="387"/>
      <c r="P347" s="551"/>
      <c r="Q347" s="394"/>
      <c r="R347" s="551"/>
      <c r="S347" s="395"/>
      <c r="T347" s="395"/>
      <c r="U347" s="395"/>
      <c r="V347" s="395"/>
      <c r="W347" s="395"/>
      <c r="X347" s="622"/>
      <c r="Y347" s="458"/>
      <c r="Z347" s="458"/>
      <c r="AA347" s="458"/>
    </row>
    <row r="348" spans="1:27" s="303" customFormat="1" ht="14.25">
      <c r="A348" s="384"/>
      <c r="B348" s="384"/>
      <c r="C348" s="384"/>
      <c r="D348" s="384"/>
      <c r="E348" s="384"/>
      <c r="F348" s="384"/>
      <c r="G348" s="388"/>
      <c r="H348" s="389"/>
      <c r="I348" s="388"/>
      <c r="J348" s="391"/>
      <c r="K348" s="392"/>
      <c r="L348" s="392"/>
      <c r="M348" s="392"/>
      <c r="N348" s="388"/>
      <c r="O348" s="388"/>
      <c r="P348" s="392"/>
      <c r="Q348" s="394"/>
      <c r="R348" s="392"/>
      <c r="S348" s="395"/>
      <c r="T348" s="396"/>
      <c r="U348" s="396"/>
      <c r="V348" s="396"/>
      <c r="W348" s="396"/>
      <c r="X348" s="397"/>
      <c r="Y348" s="339"/>
      <c r="Z348" s="339"/>
      <c r="AA348" s="339"/>
    </row>
    <row r="349" spans="1:27" s="303" customFormat="1" ht="14.25">
      <c r="A349" s="384"/>
      <c r="B349" s="384"/>
      <c r="C349" s="384"/>
      <c r="D349" s="384"/>
      <c r="E349" s="384"/>
      <c r="F349" s="384"/>
      <c r="G349" s="387"/>
      <c r="H349" s="549"/>
      <c r="I349" s="387"/>
      <c r="J349" s="550"/>
      <c r="K349" s="551"/>
      <c r="L349" s="551"/>
      <c r="M349" s="551"/>
      <c r="N349" s="387"/>
      <c r="O349" s="387"/>
      <c r="P349" s="551"/>
      <c r="Q349" s="394"/>
      <c r="R349" s="551"/>
      <c r="S349" s="395"/>
      <c r="T349" s="395"/>
      <c r="U349" s="395"/>
      <c r="V349" s="395"/>
      <c r="W349" s="395"/>
      <c r="X349" s="622"/>
      <c r="Y349" s="458"/>
      <c r="Z349" s="458"/>
      <c r="AA349" s="458"/>
    </row>
    <row r="350" spans="1:27" s="303" customFormat="1" ht="14.25">
      <c r="A350" s="384"/>
      <c r="B350" s="384"/>
      <c r="C350" s="384"/>
      <c r="D350" s="384"/>
      <c r="E350" s="384"/>
      <c r="F350" s="384"/>
      <c r="G350" s="388"/>
      <c r="H350" s="389"/>
      <c r="I350" s="388"/>
      <c r="J350" s="391"/>
      <c r="K350" s="392"/>
      <c r="L350" s="392"/>
      <c r="M350" s="392"/>
      <c r="N350" s="388"/>
      <c r="O350" s="388"/>
      <c r="P350" s="392"/>
      <c r="Q350" s="394"/>
      <c r="R350" s="392"/>
      <c r="S350" s="395"/>
      <c r="T350" s="396"/>
      <c r="U350" s="396"/>
      <c r="V350" s="396"/>
      <c r="W350" s="396"/>
      <c r="X350" s="397"/>
      <c r="Y350" s="339"/>
      <c r="Z350" s="339"/>
      <c r="AA350" s="339"/>
    </row>
    <row r="351" spans="1:27" s="303" customFormat="1" ht="14.25">
      <c r="A351" s="384"/>
      <c r="B351" s="384"/>
      <c r="C351" s="384"/>
      <c r="D351" s="384"/>
      <c r="E351" s="384"/>
      <c r="F351" s="384"/>
      <c r="G351" s="387"/>
      <c r="H351" s="549"/>
      <c r="I351" s="387"/>
      <c r="J351" s="550"/>
      <c r="K351" s="551"/>
      <c r="L351" s="551"/>
      <c r="M351" s="551"/>
      <c r="N351" s="387"/>
      <c r="O351" s="387"/>
      <c r="P351" s="551"/>
      <c r="Q351" s="394"/>
      <c r="R351" s="551"/>
      <c r="S351" s="395"/>
      <c r="T351" s="395"/>
      <c r="U351" s="395"/>
      <c r="V351" s="395"/>
      <c r="W351" s="395"/>
      <c r="X351" s="622"/>
      <c r="Y351" s="458"/>
      <c r="Z351" s="458"/>
      <c r="AA351" s="458"/>
    </row>
    <row r="352" spans="1:27" s="303" customFormat="1" ht="14.25">
      <c r="A352" s="384"/>
      <c r="B352" s="384"/>
      <c r="C352" s="384"/>
      <c r="D352" s="384"/>
      <c r="E352" s="384"/>
      <c r="F352" s="384"/>
      <c r="G352" s="388"/>
      <c r="H352" s="389"/>
      <c r="I352" s="388"/>
      <c r="J352" s="391"/>
      <c r="K352" s="392"/>
      <c r="L352" s="392"/>
      <c r="M352" s="392"/>
      <c r="N352" s="388"/>
      <c r="O352" s="388"/>
      <c r="P352" s="392"/>
      <c r="Q352" s="394"/>
      <c r="R352" s="392"/>
      <c r="S352" s="395"/>
      <c r="T352" s="396"/>
      <c r="U352" s="396"/>
      <c r="V352" s="396"/>
      <c r="W352" s="396"/>
      <c r="X352" s="397"/>
      <c r="Y352" s="339"/>
      <c r="Z352" s="339"/>
      <c r="AA352" s="339"/>
    </row>
    <row r="353" spans="1:27" s="303" customFormat="1" ht="14.25">
      <c r="A353" s="384"/>
      <c r="B353" s="384"/>
      <c r="C353" s="384"/>
      <c r="D353" s="384"/>
      <c r="E353" s="384"/>
      <c r="F353" s="384"/>
      <c r="G353" s="387"/>
      <c r="H353" s="549"/>
      <c r="I353" s="387"/>
      <c r="J353" s="550"/>
      <c r="K353" s="551"/>
      <c r="L353" s="551"/>
      <c r="M353" s="551"/>
      <c r="N353" s="387"/>
      <c r="O353" s="387"/>
      <c r="P353" s="551"/>
      <c r="Q353" s="394"/>
      <c r="R353" s="551"/>
      <c r="S353" s="395"/>
      <c r="T353" s="395"/>
      <c r="U353" s="395"/>
      <c r="V353" s="395"/>
      <c r="W353" s="395"/>
      <c r="X353" s="622"/>
      <c r="Y353" s="458"/>
      <c r="Z353" s="458"/>
      <c r="AA353" s="458"/>
    </row>
    <row r="354" spans="1:27" s="303" customFormat="1" ht="14.25">
      <c r="A354" s="384"/>
      <c r="B354" s="384"/>
      <c r="C354" s="384"/>
      <c r="D354" s="384"/>
      <c r="E354" s="384"/>
      <c r="F354" s="384"/>
      <c r="G354" s="388"/>
      <c r="H354" s="389"/>
      <c r="I354" s="388"/>
      <c r="J354" s="391"/>
      <c r="K354" s="392"/>
      <c r="L354" s="392"/>
      <c r="M354" s="392"/>
      <c r="N354" s="388"/>
      <c r="O354" s="388"/>
      <c r="P354" s="392"/>
      <c r="Q354" s="394"/>
      <c r="R354" s="392"/>
      <c r="S354" s="395"/>
      <c r="T354" s="396"/>
      <c r="U354" s="396"/>
      <c r="V354" s="396"/>
      <c r="W354" s="396"/>
      <c r="X354" s="397"/>
      <c r="Y354" s="339"/>
      <c r="Z354" s="339"/>
      <c r="AA354" s="339"/>
    </row>
    <row r="355" spans="1:27" s="303" customFormat="1" ht="14.25">
      <c r="A355" s="384"/>
      <c r="B355" s="384"/>
      <c r="C355" s="384"/>
      <c r="D355" s="384"/>
      <c r="E355" s="384"/>
      <c r="F355" s="384"/>
      <c r="G355" s="387"/>
      <c r="H355" s="549"/>
      <c r="I355" s="387"/>
      <c r="J355" s="550"/>
      <c r="K355" s="551"/>
      <c r="L355" s="551"/>
      <c r="M355" s="551"/>
      <c r="N355" s="387"/>
      <c r="O355" s="387"/>
      <c r="P355" s="551"/>
      <c r="Q355" s="394"/>
      <c r="R355" s="551"/>
      <c r="S355" s="395"/>
      <c r="T355" s="395"/>
      <c r="U355" s="395"/>
      <c r="V355" s="395"/>
      <c r="W355" s="395"/>
      <c r="X355" s="622"/>
      <c r="Y355" s="458"/>
      <c r="Z355" s="458"/>
      <c r="AA355" s="458"/>
    </row>
    <row r="356" spans="1:27" s="303" customFormat="1" ht="14.25">
      <c r="A356" s="384"/>
      <c r="B356" s="384"/>
      <c r="C356" s="384"/>
      <c r="D356" s="384"/>
      <c r="E356" s="384"/>
      <c r="F356" s="384"/>
      <c r="G356" s="388"/>
      <c r="H356" s="389"/>
      <c r="I356" s="388"/>
      <c r="J356" s="391"/>
      <c r="K356" s="392"/>
      <c r="L356" s="392"/>
      <c r="M356" s="392"/>
      <c r="N356" s="388"/>
      <c r="O356" s="388"/>
      <c r="P356" s="392"/>
      <c r="Q356" s="394"/>
      <c r="R356" s="392"/>
      <c r="S356" s="395"/>
      <c r="T356" s="396"/>
      <c r="U356" s="396"/>
      <c r="V356" s="396"/>
      <c r="W356" s="396"/>
      <c r="X356" s="397"/>
      <c r="Y356" s="339"/>
      <c r="Z356" s="339"/>
      <c r="AA356" s="339"/>
    </row>
    <row r="357" spans="1:27" s="303" customFormat="1" ht="14.25">
      <c r="A357" s="384"/>
      <c r="B357" s="384"/>
      <c r="C357" s="384"/>
      <c r="D357" s="384"/>
      <c r="E357" s="384"/>
      <c r="F357" s="384"/>
      <c r="G357" s="387"/>
      <c r="H357" s="549"/>
      <c r="I357" s="387"/>
      <c r="J357" s="550"/>
      <c r="K357" s="551"/>
      <c r="L357" s="551"/>
      <c r="M357" s="551"/>
      <c r="N357" s="387"/>
      <c r="O357" s="387"/>
      <c r="P357" s="551"/>
      <c r="Q357" s="394"/>
      <c r="R357" s="551"/>
      <c r="S357" s="395"/>
      <c r="T357" s="395"/>
      <c r="U357" s="395"/>
      <c r="V357" s="395"/>
      <c r="W357" s="395"/>
      <c r="X357" s="622"/>
      <c r="Y357" s="458"/>
      <c r="Z357" s="458"/>
      <c r="AA357" s="458"/>
    </row>
    <row r="358" spans="1:27" s="303" customFormat="1" ht="14.25">
      <c r="A358" s="384"/>
      <c r="B358" s="384"/>
      <c r="C358" s="384"/>
      <c r="D358" s="384"/>
      <c r="E358" s="384"/>
      <c r="F358" s="384"/>
      <c r="G358" s="388"/>
      <c r="H358" s="389"/>
      <c r="I358" s="388"/>
      <c r="J358" s="391"/>
      <c r="K358" s="392"/>
      <c r="L358" s="392"/>
      <c r="M358" s="392"/>
      <c r="N358" s="388"/>
      <c r="O358" s="388"/>
      <c r="P358" s="392"/>
      <c r="Q358" s="394"/>
      <c r="R358" s="392"/>
      <c r="S358" s="395"/>
      <c r="T358" s="396"/>
      <c r="U358" s="396"/>
      <c r="V358" s="396"/>
      <c r="W358" s="396"/>
      <c r="X358" s="397"/>
      <c r="Y358" s="339"/>
      <c r="Z358" s="339"/>
      <c r="AA358" s="339"/>
    </row>
    <row r="359" spans="1:27" s="303" customFormat="1" ht="14.25">
      <c r="A359" s="384"/>
      <c r="B359" s="384"/>
      <c r="C359" s="384"/>
      <c r="D359" s="384"/>
      <c r="E359" s="384"/>
      <c r="F359" s="384"/>
      <c r="G359" s="387"/>
      <c r="H359" s="549"/>
      <c r="I359" s="387"/>
      <c r="J359" s="550"/>
      <c r="K359" s="551"/>
      <c r="L359" s="551"/>
      <c r="M359" s="551"/>
      <c r="N359" s="387"/>
      <c r="O359" s="387"/>
      <c r="P359" s="551"/>
      <c r="Q359" s="394"/>
      <c r="R359" s="551"/>
      <c r="S359" s="395"/>
      <c r="T359" s="395"/>
      <c r="U359" s="395"/>
      <c r="V359" s="395"/>
      <c r="W359" s="395"/>
      <c r="X359" s="622"/>
      <c r="Y359" s="458"/>
      <c r="Z359" s="458"/>
      <c r="AA359" s="458"/>
    </row>
    <row r="360" spans="1:27" s="303" customFormat="1" ht="14.25">
      <c r="A360" s="384"/>
      <c r="B360" s="384"/>
      <c r="C360" s="384"/>
      <c r="D360" s="384"/>
      <c r="E360" s="384"/>
      <c r="F360" s="384"/>
      <c r="G360" s="388"/>
      <c r="H360" s="389"/>
      <c r="I360" s="388"/>
      <c r="J360" s="391"/>
      <c r="K360" s="392"/>
      <c r="L360" s="392"/>
      <c r="M360" s="392"/>
      <c r="N360" s="388"/>
      <c r="O360" s="388"/>
      <c r="P360" s="392"/>
      <c r="Q360" s="394"/>
      <c r="R360" s="392"/>
      <c r="S360" s="395"/>
      <c r="T360" s="396"/>
      <c r="U360" s="396"/>
      <c r="V360" s="396"/>
      <c r="W360" s="396"/>
      <c r="X360" s="397"/>
      <c r="Y360" s="339"/>
      <c r="Z360" s="339"/>
      <c r="AA360" s="339"/>
    </row>
    <row r="361" spans="1:27" s="303" customFormat="1" ht="14.25">
      <c r="A361" s="384"/>
      <c r="B361" s="384"/>
      <c r="C361" s="384"/>
      <c r="D361" s="384"/>
      <c r="E361" s="384"/>
      <c r="F361" s="384"/>
      <c r="G361" s="387"/>
      <c r="H361" s="549"/>
      <c r="I361" s="387"/>
      <c r="J361" s="550"/>
      <c r="K361" s="551"/>
      <c r="L361" s="551"/>
      <c r="M361" s="551"/>
      <c r="N361" s="387"/>
      <c r="O361" s="387"/>
      <c r="P361" s="551"/>
      <c r="Q361" s="394"/>
      <c r="R361" s="551"/>
      <c r="S361" s="395"/>
      <c r="T361" s="395"/>
      <c r="U361" s="395"/>
      <c r="V361" s="395"/>
      <c r="W361" s="395"/>
      <c r="X361" s="622"/>
      <c r="Y361" s="458"/>
      <c r="Z361" s="458"/>
      <c r="AA361" s="458"/>
    </row>
    <row r="362" spans="1:27" s="303" customFormat="1" ht="14.25">
      <c r="A362" s="384"/>
      <c r="B362" s="384"/>
      <c r="C362" s="384"/>
      <c r="D362" s="384"/>
      <c r="E362" s="384"/>
      <c r="F362" s="384"/>
      <c r="G362" s="388"/>
      <c r="H362" s="389"/>
      <c r="I362" s="388"/>
      <c r="J362" s="391"/>
      <c r="K362" s="392"/>
      <c r="L362" s="392"/>
      <c r="M362" s="392"/>
      <c r="N362" s="388"/>
      <c r="O362" s="388"/>
      <c r="P362" s="392"/>
      <c r="Q362" s="394"/>
      <c r="R362" s="392"/>
      <c r="S362" s="395"/>
      <c r="T362" s="396"/>
      <c r="U362" s="396"/>
      <c r="V362" s="396"/>
      <c r="W362" s="396"/>
      <c r="X362" s="397"/>
      <c r="Y362" s="339"/>
      <c r="Z362" s="339"/>
      <c r="AA362" s="339"/>
    </row>
    <row r="363" spans="1:27" s="303" customFormat="1" ht="14.25">
      <c r="A363" s="384"/>
      <c r="B363" s="384"/>
      <c r="C363" s="384"/>
      <c r="D363" s="384"/>
      <c r="E363" s="384"/>
      <c r="F363" s="384"/>
      <c r="G363" s="387"/>
      <c r="H363" s="549"/>
      <c r="I363" s="387"/>
      <c r="J363" s="550"/>
      <c r="K363" s="551"/>
      <c r="L363" s="551"/>
      <c r="M363" s="551"/>
      <c r="N363" s="387"/>
      <c r="O363" s="387"/>
      <c r="P363" s="551"/>
      <c r="Q363" s="394"/>
      <c r="R363" s="551"/>
      <c r="S363" s="395"/>
      <c r="T363" s="395"/>
      <c r="U363" s="395"/>
      <c r="V363" s="395"/>
      <c r="W363" s="395"/>
      <c r="X363" s="622"/>
      <c r="Y363" s="458"/>
      <c r="Z363" s="458"/>
      <c r="AA363" s="458"/>
    </row>
    <row r="364" spans="1:27" s="303" customFormat="1" ht="14.25">
      <c r="A364" s="384"/>
      <c r="B364" s="384"/>
      <c r="C364" s="384"/>
      <c r="D364" s="384"/>
      <c r="E364" s="384"/>
      <c r="F364" s="384"/>
      <c r="G364" s="388"/>
      <c r="H364" s="389"/>
      <c r="I364" s="388"/>
      <c r="J364" s="391"/>
      <c r="K364" s="392"/>
      <c r="L364" s="392"/>
      <c r="M364" s="392"/>
      <c r="N364" s="388"/>
      <c r="O364" s="388"/>
      <c r="P364" s="392"/>
      <c r="Q364" s="394"/>
      <c r="R364" s="392"/>
      <c r="S364" s="395"/>
      <c r="T364" s="396"/>
      <c r="U364" s="396"/>
      <c r="V364" s="396"/>
      <c r="W364" s="396"/>
      <c r="X364" s="397"/>
      <c r="Y364" s="339"/>
      <c r="Z364" s="339"/>
      <c r="AA364" s="339"/>
    </row>
    <row r="365" spans="1:27" s="303" customFormat="1" ht="14.25">
      <c r="A365" s="384"/>
      <c r="B365" s="384"/>
      <c r="C365" s="384"/>
      <c r="D365" s="384"/>
      <c r="E365" s="384"/>
      <c r="F365" s="384"/>
      <c r="G365" s="387"/>
      <c r="H365" s="549"/>
      <c r="I365" s="387"/>
      <c r="J365" s="550"/>
      <c r="K365" s="551"/>
      <c r="L365" s="551"/>
      <c r="M365" s="551"/>
      <c r="N365" s="387"/>
      <c r="O365" s="387"/>
      <c r="P365" s="551"/>
      <c r="Q365" s="394"/>
      <c r="R365" s="551"/>
      <c r="S365" s="395"/>
      <c r="T365" s="395"/>
      <c r="U365" s="395"/>
      <c r="V365" s="395"/>
      <c r="W365" s="395"/>
      <c r="X365" s="622"/>
      <c r="Y365" s="458"/>
      <c r="Z365" s="458"/>
      <c r="AA365" s="458"/>
    </row>
    <row r="366" spans="1:27" s="303" customFormat="1" ht="14.25">
      <c r="A366" s="384"/>
      <c r="B366" s="384"/>
      <c r="C366" s="384"/>
      <c r="D366" s="384"/>
      <c r="E366" s="384"/>
      <c r="F366" s="384"/>
      <c r="G366" s="388"/>
      <c r="H366" s="389"/>
      <c r="I366" s="388"/>
      <c r="J366" s="391"/>
      <c r="K366" s="392"/>
      <c r="L366" s="392"/>
      <c r="M366" s="392"/>
      <c r="N366" s="388"/>
      <c r="O366" s="388"/>
      <c r="P366" s="392"/>
      <c r="Q366" s="394"/>
      <c r="R366" s="392"/>
      <c r="S366" s="395"/>
      <c r="T366" s="396"/>
      <c r="U366" s="396"/>
      <c r="V366" s="396"/>
      <c r="W366" s="396"/>
      <c r="X366" s="397"/>
      <c r="Y366" s="339"/>
      <c r="Z366" s="339"/>
      <c r="AA366" s="339"/>
    </row>
    <row r="367" spans="1:27" s="303" customFormat="1" ht="14.25">
      <c r="A367" s="384"/>
      <c r="B367" s="384"/>
      <c r="C367" s="384"/>
      <c r="D367" s="384"/>
      <c r="E367" s="384"/>
      <c r="F367" s="384"/>
      <c r="G367" s="387"/>
      <c r="H367" s="549"/>
      <c r="I367" s="387"/>
      <c r="J367" s="550"/>
      <c r="K367" s="551"/>
      <c r="L367" s="551"/>
      <c r="M367" s="551"/>
      <c r="N367" s="387"/>
      <c r="O367" s="387"/>
      <c r="P367" s="551"/>
      <c r="Q367" s="394"/>
      <c r="R367" s="551"/>
      <c r="S367" s="395"/>
      <c r="T367" s="395"/>
      <c r="U367" s="395"/>
      <c r="V367" s="395"/>
      <c r="W367" s="395"/>
      <c r="X367" s="622"/>
      <c r="Y367" s="458"/>
      <c r="Z367" s="458"/>
      <c r="AA367" s="458"/>
    </row>
    <row r="368" spans="1:27" s="303" customFormat="1" ht="14.25">
      <c r="A368" s="384"/>
      <c r="B368" s="384"/>
      <c r="C368" s="384"/>
      <c r="D368" s="384"/>
      <c r="E368" s="384"/>
      <c r="F368" s="384"/>
      <c r="G368" s="388"/>
      <c r="H368" s="389"/>
      <c r="I368" s="388"/>
      <c r="J368" s="391"/>
      <c r="K368" s="392"/>
      <c r="L368" s="392"/>
      <c r="M368" s="392"/>
      <c r="N368" s="388"/>
      <c r="O368" s="388"/>
      <c r="P368" s="392"/>
      <c r="Q368" s="394"/>
      <c r="R368" s="392"/>
      <c r="S368" s="395"/>
      <c r="T368" s="396"/>
      <c r="U368" s="396"/>
      <c r="V368" s="396"/>
      <c r="W368" s="396"/>
      <c r="X368" s="397"/>
      <c r="Y368" s="339"/>
      <c r="Z368" s="339"/>
      <c r="AA368" s="339"/>
    </row>
    <row r="369" spans="1:27" s="303" customFormat="1" ht="14.25">
      <c r="A369" s="384"/>
      <c r="B369" s="384"/>
      <c r="C369" s="384"/>
      <c r="D369" s="384"/>
      <c r="E369" s="384"/>
      <c r="F369" s="384"/>
      <c r="G369" s="387"/>
      <c r="H369" s="549"/>
      <c r="I369" s="387"/>
      <c r="J369" s="550"/>
      <c r="K369" s="551"/>
      <c r="L369" s="551"/>
      <c r="M369" s="551"/>
      <c r="N369" s="387"/>
      <c r="O369" s="387"/>
      <c r="P369" s="551"/>
      <c r="Q369" s="394"/>
      <c r="R369" s="551"/>
      <c r="S369" s="395"/>
      <c r="T369" s="395"/>
      <c r="U369" s="395"/>
      <c r="V369" s="395"/>
      <c r="W369" s="395"/>
      <c r="X369" s="622"/>
      <c r="Y369" s="458"/>
      <c r="Z369" s="458"/>
      <c r="AA369" s="458"/>
    </row>
    <row r="370" spans="1:27" s="303" customFormat="1" ht="14.25">
      <c r="A370" s="384"/>
      <c r="B370" s="384"/>
      <c r="C370" s="384"/>
      <c r="D370" s="384"/>
      <c r="E370" s="384"/>
      <c r="F370" s="384"/>
      <c r="G370" s="388"/>
      <c r="H370" s="389"/>
      <c r="I370" s="388"/>
      <c r="J370" s="391"/>
      <c r="K370" s="392"/>
      <c r="L370" s="392"/>
      <c r="M370" s="392"/>
      <c r="N370" s="388"/>
      <c r="O370" s="388"/>
      <c r="P370" s="392"/>
      <c r="Q370" s="394"/>
      <c r="R370" s="392"/>
      <c r="S370" s="395"/>
      <c r="T370" s="396"/>
      <c r="U370" s="396"/>
      <c r="V370" s="396"/>
      <c r="W370" s="396"/>
      <c r="X370" s="397"/>
      <c r="Y370" s="339"/>
      <c r="Z370" s="339"/>
      <c r="AA370" s="339"/>
    </row>
    <row r="371" spans="1:27" s="303" customFormat="1" ht="14.25">
      <c r="A371" s="384"/>
      <c r="B371" s="384"/>
      <c r="C371" s="384"/>
      <c r="D371" s="384"/>
      <c r="E371" s="384"/>
      <c r="F371" s="384"/>
      <c r="G371" s="387"/>
      <c r="H371" s="549"/>
      <c r="I371" s="387"/>
      <c r="J371" s="550"/>
      <c r="K371" s="551"/>
      <c r="L371" s="551"/>
      <c r="M371" s="551"/>
      <c r="N371" s="387"/>
      <c r="O371" s="387"/>
      <c r="P371" s="551"/>
      <c r="Q371" s="394"/>
      <c r="R371" s="551"/>
      <c r="S371" s="395"/>
      <c r="T371" s="395"/>
      <c r="U371" s="395"/>
      <c r="V371" s="395"/>
      <c r="W371" s="395"/>
      <c r="X371" s="622"/>
      <c r="Y371" s="458"/>
      <c r="Z371" s="458"/>
      <c r="AA371" s="458"/>
    </row>
    <row r="372" spans="1:27" s="303" customFormat="1" ht="14.25">
      <c r="A372" s="384"/>
      <c r="B372" s="384"/>
      <c r="C372" s="384"/>
      <c r="D372" s="384"/>
      <c r="E372" s="384"/>
      <c r="F372" s="384"/>
      <c r="G372" s="388"/>
      <c r="H372" s="389"/>
      <c r="I372" s="388"/>
      <c r="J372" s="391"/>
      <c r="K372" s="392"/>
      <c r="L372" s="392"/>
      <c r="M372" s="392"/>
      <c r="N372" s="388"/>
      <c r="O372" s="388"/>
      <c r="P372" s="392"/>
      <c r="Q372" s="394"/>
      <c r="R372" s="392"/>
      <c r="S372" s="395"/>
      <c r="T372" s="396"/>
      <c r="U372" s="396"/>
      <c r="V372" s="396"/>
      <c r="W372" s="396"/>
      <c r="X372" s="397"/>
      <c r="Y372" s="339"/>
      <c r="Z372" s="339"/>
      <c r="AA372" s="339"/>
    </row>
    <row r="373" spans="1:27" s="303" customFormat="1" ht="14.25">
      <c r="A373" s="384"/>
      <c r="B373" s="384"/>
      <c r="C373" s="384"/>
      <c r="D373" s="384"/>
      <c r="E373" s="384"/>
      <c r="F373" s="384"/>
      <c r="G373" s="387"/>
      <c r="H373" s="549"/>
      <c r="I373" s="387"/>
      <c r="J373" s="550"/>
      <c r="K373" s="551"/>
      <c r="L373" s="551"/>
      <c r="M373" s="551"/>
      <c r="N373" s="387"/>
      <c r="O373" s="387"/>
      <c r="P373" s="551"/>
      <c r="Q373" s="394"/>
      <c r="R373" s="551"/>
      <c r="S373" s="395"/>
      <c r="T373" s="395"/>
      <c r="U373" s="395"/>
      <c r="V373" s="395"/>
      <c r="W373" s="395"/>
      <c r="X373" s="622"/>
      <c r="Y373" s="458"/>
      <c r="Z373" s="458"/>
      <c r="AA373" s="458"/>
    </row>
    <row r="374" spans="1:27" s="303" customFormat="1" ht="14.25">
      <c r="A374" s="384"/>
      <c r="B374" s="384"/>
      <c r="C374" s="384"/>
      <c r="D374" s="384"/>
      <c r="E374" s="384"/>
      <c r="F374" s="384"/>
      <c r="G374" s="388"/>
      <c r="H374" s="389"/>
      <c r="I374" s="388"/>
      <c r="J374" s="391"/>
      <c r="K374" s="392"/>
      <c r="L374" s="392"/>
      <c r="M374" s="392"/>
      <c r="N374" s="388"/>
      <c r="O374" s="388"/>
      <c r="P374" s="392"/>
      <c r="Q374" s="394"/>
      <c r="R374" s="392"/>
      <c r="S374" s="395"/>
      <c r="T374" s="396"/>
      <c r="U374" s="396"/>
      <c r="V374" s="396"/>
      <c r="W374" s="396"/>
      <c r="X374" s="397"/>
      <c r="Y374" s="339"/>
      <c r="Z374" s="339"/>
      <c r="AA374" s="339"/>
    </row>
    <row r="375" spans="1:27" s="303" customFormat="1" ht="14.25">
      <c r="A375" s="384"/>
      <c r="B375" s="384"/>
      <c r="C375" s="384"/>
      <c r="D375" s="384"/>
      <c r="E375" s="384"/>
      <c r="F375" s="384"/>
      <c r="G375" s="387"/>
      <c r="H375" s="549"/>
      <c r="I375" s="387"/>
      <c r="J375" s="550"/>
      <c r="K375" s="551"/>
      <c r="L375" s="551"/>
      <c r="M375" s="551"/>
      <c r="N375" s="387"/>
      <c r="O375" s="387"/>
      <c r="P375" s="551"/>
      <c r="Q375" s="394"/>
      <c r="R375" s="551"/>
      <c r="S375" s="395"/>
      <c r="T375" s="395"/>
      <c r="U375" s="395"/>
      <c r="V375" s="395"/>
      <c r="W375" s="395"/>
      <c r="X375" s="622"/>
      <c r="Y375" s="458"/>
      <c r="Z375" s="458"/>
      <c r="AA375" s="458"/>
    </row>
    <row r="376" spans="1:27" s="303" customFormat="1" ht="14.25">
      <c r="A376" s="384"/>
      <c r="B376" s="384"/>
      <c r="C376" s="384"/>
      <c r="D376" s="384"/>
      <c r="E376" s="384"/>
      <c r="F376" s="384"/>
      <c r="G376" s="388"/>
      <c r="H376" s="389"/>
      <c r="I376" s="388"/>
      <c r="J376" s="391"/>
      <c r="K376" s="392"/>
      <c r="L376" s="392"/>
      <c r="M376" s="392"/>
      <c r="N376" s="388"/>
      <c r="O376" s="388"/>
      <c r="P376" s="392"/>
      <c r="Q376" s="394"/>
      <c r="R376" s="392"/>
      <c r="S376" s="395"/>
      <c r="T376" s="396"/>
      <c r="U376" s="396"/>
      <c r="V376" s="396"/>
      <c r="W376" s="396"/>
      <c r="X376" s="397"/>
      <c r="Y376" s="339"/>
      <c r="Z376" s="339"/>
      <c r="AA376" s="339"/>
    </row>
    <row r="377" spans="1:27" s="303" customFormat="1" ht="14.25">
      <c r="A377" s="384"/>
      <c r="B377" s="384"/>
      <c r="C377" s="384"/>
      <c r="D377" s="384"/>
      <c r="E377" s="384"/>
      <c r="F377" s="384"/>
      <c r="G377" s="387"/>
      <c r="H377" s="549"/>
      <c r="I377" s="387"/>
      <c r="J377" s="550"/>
      <c r="K377" s="551"/>
      <c r="L377" s="551"/>
      <c r="M377" s="551"/>
      <c r="N377" s="387"/>
      <c r="O377" s="387"/>
      <c r="P377" s="551"/>
      <c r="Q377" s="394"/>
      <c r="R377" s="551"/>
      <c r="S377" s="395"/>
      <c r="T377" s="395"/>
      <c r="U377" s="395"/>
      <c r="V377" s="395"/>
      <c r="W377" s="395"/>
      <c r="X377" s="622"/>
      <c r="Y377" s="458"/>
      <c r="Z377" s="458"/>
      <c r="AA377" s="458"/>
    </row>
    <row r="378" spans="1:27" s="303" customFormat="1" ht="14.25">
      <c r="A378" s="384"/>
      <c r="B378" s="384"/>
      <c r="C378" s="384"/>
      <c r="D378" s="384"/>
      <c r="E378" s="384"/>
      <c r="F378" s="384"/>
      <c r="G378" s="388"/>
      <c r="H378" s="389"/>
      <c r="I378" s="388"/>
      <c r="J378" s="391"/>
      <c r="K378" s="392"/>
      <c r="L378" s="392"/>
      <c r="M378" s="392"/>
      <c r="N378" s="388"/>
      <c r="O378" s="388"/>
      <c r="P378" s="392"/>
      <c r="Q378" s="394"/>
      <c r="R378" s="392"/>
      <c r="S378" s="395"/>
      <c r="T378" s="396"/>
      <c r="U378" s="396"/>
      <c r="V378" s="396"/>
      <c r="W378" s="396"/>
      <c r="X378" s="397"/>
      <c r="Y378" s="339"/>
      <c r="Z378" s="339"/>
      <c r="AA378" s="339"/>
    </row>
    <row r="379" spans="1:27" s="303" customFormat="1" ht="14.25">
      <c r="A379" s="384"/>
      <c r="B379" s="384"/>
      <c r="C379" s="384"/>
      <c r="D379" s="384"/>
      <c r="E379" s="384"/>
      <c r="F379" s="384"/>
      <c r="G379" s="387"/>
      <c r="H379" s="549"/>
      <c r="I379" s="387"/>
      <c r="J379" s="550"/>
      <c r="K379" s="551"/>
      <c r="L379" s="551"/>
      <c r="M379" s="551"/>
      <c r="N379" s="387"/>
      <c r="O379" s="387"/>
      <c r="P379" s="551"/>
      <c r="Q379" s="394"/>
      <c r="R379" s="551"/>
      <c r="S379" s="395"/>
      <c r="T379" s="395"/>
      <c r="U379" s="395"/>
      <c r="V379" s="395"/>
      <c r="W379" s="395"/>
      <c r="X379" s="622"/>
      <c r="Y379" s="458"/>
      <c r="Z379" s="458"/>
      <c r="AA379" s="458"/>
    </row>
    <row r="380" spans="1:27" s="303" customFormat="1" ht="14.25">
      <c r="A380" s="384"/>
      <c r="B380" s="384"/>
      <c r="C380" s="384"/>
      <c r="D380" s="384"/>
      <c r="E380" s="384"/>
      <c r="F380" s="384"/>
      <c r="G380" s="388"/>
      <c r="H380" s="389"/>
      <c r="I380" s="388"/>
      <c r="J380" s="391"/>
      <c r="K380" s="392"/>
      <c r="L380" s="392"/>
      <c r="M380" s="392"/>
      <c r="N380" s="388"/>
      <c r="O380" s="388"/>
      <c r="P380" s="392"/>
      <c r="Q380" s="394"/>
      <c r="R380" s="392"/>
      <c r="S380" s="395"/>
      <c r="T380" s="396"/>
      <c r="U380" s="396"/>
      <c r="V380" s="396"/>
      <c r="W380" s="396"/>
      <c r="X380" s="397"/>
      <c r="Y380" s="339"/>
      <c r="Z380" s="339"/>
      <c r="AA380" s="339"/>
    </row>
    <row r="381" spans="1:27" s="303" customFormat="1" ht="14.25">
      <c r="A381" s="384"/>
      <c r="B381" s="384"/>
      <c r="C381" s="384"/>
      <c r="D381" s="384"/>
      <c r="E381" s="384"/>
      <c r="F381" s="384"/>
      <c r="G381" s="387"/>
      <c r="H381" s="549"/>
      <c r="I381" s="387"/>
      <c r="J381" s="550"/>
      <c r="K381" s="551"/>
      <c r="L381" s="551"/>
      <c r="M381" s="551"/>
      <c r="N381" s="387"/>
      <c r="O381" s="387"/>
      <c r="P381" s="551"/>
      <c r="Q381" s="394"/>
      <c r="R381" s="551"/>
      <c r="S381" s="395"/>
      <c r="T381" s="395"/>
      <c r="U381" s="395"/>
      <c r="V381" s="395"/>
      <c r="W381" s="395"/>
      <c r="X381" s="622"/>
      <c r="Y381" s="458"/>
      <c r="Z381" s="458"/>
      <c r="AA381" s="458"/>
    </row>
    <row r="382" spans="1:27" s="303" customFormat="1" ht="14.25">
      <c r="A382" s="384"/>
      <c r="B382" s="384"/>
      <c r="C382" s="384"/>
      <c r="D382" s="384"/>
      <c r="E382" s="384"/>
      <c r="F382" s="384"/>
      <c r="G382" s="388"/>
      <c r="H382" s="389"/>
      <c r="I382" s="388"/>
      <c r="J382" s="391"/>
      <c r="K382" s="392"/>
      <c r="L382" s="392"/>
      <c r="M382" s="392"/>
      <c r="N382" s="388"/>
      <c r="O382" s="388"/>
      <c r="P382" s="392"/>
      <c r="Q382" s="394"/>
      <c r="R382" s="392"/>
      <c r="S382" s="395"/>
      <c r="T382" s="396"/>
      <c r="U382" s="396"/>
      <c r="V382" s="396"/>
      <c r="W382" s="396"/>
      <c r="X382" s="397"/>
      <c r="Y382" s="339"/>
      <c r="Z382" s="339"/>
      <c r="AA382" s="339"/>
    </row>
    <row r="383" spans="1:27" s="303" customFormat="1" ht="14.25">
      <c r="A383" s="384"/>
      <c r="B383" s="384"/>
      <c r="C383" s="384"/>
      <c r="D383" s="384"/>
      <c r="E383" s="384"/>
      <c r="F383" s="384"/>
      <c r="G383" s="387"/>
      <c r="H383" s="549"/>
      <c r="I383" s="387"/>
      <c r="J383" s="550"/>
      <c r="K383" s="551"/>
      <c r="L383" s="551"/>
      <c r="M383" s="551"/>
      <c r="N383" s="387"/>
      <c r="O383" s="387"/>
      <c r="P383" s="551"/>
      <c r="Q383" s="394"/>
      <c r="R383" s="551"/>
      <c r="S383" s="395"/>
      <c r="T383" s="395"/>
      <c r="U383" s="395"/>
      <c r="V383" s="395"/>
      <c r="W383" s="395"/>
      <c r="X383" s="622"/>
      <c r="Y383" s="458"/>
      <c r="Z383" s="458"/>
      <c r="AA383" s="458"/>
    </row>
    <row r="384" spans="1:27" s="303" customFormat="1" ht="14.25">
      <c r="A384" s="384"/>
      <c r="B384" s="384"/>
      <c r="C384" s="384"/>
      <c r="D384" s="384"/>
      <c r="E384" s="384"/>
      <c r="F384" s="384"/>
      <c r="G384" s="387"/>
      <c r="H384" s="549"/>
      <c r="I384" s="387"/>
      <c r="J384" s="550"/>
      <c r="K384" s="551"/>
      <c r="L384" s="551"/>
      <c r="M384" s="551"/>
      <c r="N384" s="387"/>
      <c r="O384" s="387"/>
      <c r="P384" s="551"/>
      <c r="Q384" s="394"/>
      <c r="R384" s="551"/>
      <c r="S384" s="395"/>
      <c r="T384" s="395"/>
      <c r="U384" s="395"/>
      <c r="V384" s="395"/>
      <c r="W384" s="395"/>
      <c r="X384" s="622"/>
      <c r="Y384" s="458"/>
      <c r="Z384" s="458"/>
      <c r="AA384" s="458"/>
    </row>
    <row r="385" spans="1:27" s="303" customFormat="1" ht="14.25">
      <c r="A385" s="384"/>
      <c r="B385" s="384"/>
      <c r="C385" s="384"/>
      <c r="D385" s="384"/>
      <c r="E385" s="384"/>
      <c r="F385" s="384"/>
      <c r="G385" s="387"/>
      <c r="H385" s="549"/>
      <c r="I385" s="387"/>
      <c r="J385" s="550"/>
      <c r="K385" s="551"/>
      <c r="L385" s="551"/>
      <c r="M385" s="551"/>
      <c r="N385" s="387"/>
      <c r="O385" s="387"/>
      <c r="P385" s="551"/>
      <c r="Q385" s="394"/>
      <c r="R385" s="551"/>
      <c r="S385" s="395"/>
      <c r="T385" s="395"/>
      <c r="U385" s="395"/>
      <c r="V385" s="395"/>
      <c r="W385" s="395"/>
      <c r="X385" s="622"/>
      <c r="Y385" s="458"/>
      <c r="Z385" s="458"/>
      <c r="AA385" s="458"/>
    </row>
    <row r="386" spans="1:27" s="303" customFormat="1" ht="14.25">
      <c r="A386" s="384"/>
      <c r="B386" s="384"/>
      <c r="C386" s="384"/>
      <c r="D386" s="384"/>
      <c r="E386" s="384"/>
      <c r="F386" s="384"/>
      <c r="G386" s="387"/>
      <c r="H386" s="549"/>
      <c r="I386" s="387"/>
      <c r="J386" s="550"/>
      <c r="K386" s="551"/>
      <c r="L386" s="551"/>
      <c r="M386" s="551"/>
      <c r="N386" s="387"/>
      <c r="O386" s="387"/>
      <c r="P386" s="551"/>
      <c r="Q386" s="394"/>
      <c r="R386" s="551"/>
      <c r="S386" s="395"/>
      <c r="T386" s="395"/>
      <c r="U386" s="395"/>
      <c r="V386" s="395"/>
      <c r="W386" s="395"/>
      <c r="X386" s="622"/>
      <c r="Y386" s="458"/>
      <c r="Z386" s="458"/>
      <c r="AA386" s="458"/>
    </row>
    <row r="387" spans="1:27" s="303" customFormat="1" ht="14.25">
      <c r="A387" s="384"/>
      <c r="B387" s="384"/>
      <c r="C387" s="384"/>
      <c r="D387" s="384"/>
      <c r="E387" s="384"/>
      <c r="F387" s="384"/>
      <c r="G387" s="387"/>
      <c r="H387" s="549"/>
      <c r="I387" s="387"/>
      <c r="J387" s="550"/>
      <c r="K387" s="551"/>
      <c r="L387" s="551"/>
      <c r="M387" s="551"/>
      <c r="N387" s="387"/>
      <c r="O387" s="387"/>
      <c r="P387" s="551"/>
      <c r="Q387" s="394"/>
      <c r="R387" s="551"/>
      <c r="S387" s="395"/>
      <c r="T387" s="395"/>
      <c r="U387" s="395"/>
      <c r="V387" s="395"/>
      <c r="W387" s="395"/>
      <c r="X387" s="622"/>
      <c r="Y387" s="458"/>
      <c r="Z387" s="458"/>
      <c r="AA387" s="458"/>
    </row>
    <row r="388" spans="1:27" s="303" customFormat="1" ht="14.25">
      <c r="A388" s="384"/>
      <c r="B388" s="384"/>
      <c r="C388" s="384"/>
      <c r="D388" s="384"/>
      <c r="E388" s="384"/>
      <c r="F388" s="384"/>
      <c r="G388" s="388"/>
      <c r="H388" s="389"/>
      <c r="I388" s="388"/>
      <c r="J388" s="391"/>
      <c r="K388" s="392"/>
      <c r="L388" s="392"/>
      <c r="M388" s="392"/>
      <c r="N388" s="388"/>
      <c r="O388" s="388"/>
      <c r="P388" s="392"/>
      <c r="Q388" s="394"/>
      <c r="R388" s="392"/>
      <c r="S388" s="395"/>
      <c r="T388" s="396"/>
      <c r="U388" s="396"/>
      <c r="V388" s="396"/>
      <c r="W388" s="396"/>
      <c r="X388" s="397"/>
      <c r="Y388" s="339"/>
      <c r="Z388" s="339"/>
      <c r="AA388" s="339"/>
    </row>
    <row r="389" spans="1:27" s="303" customFormat="1" ht="14.25">
      <c r="A389" s="384"/>
      <c r="B389" s="384"/>
      <c r="C389" s="384"/>
      <c r="D389" s="384"/>
      <c r="E389" s="384"/>
      <c r="F389" s="384"/>
      <c r="G389" s="387"/>
      <c r="H389" s="549"/>
      <c r="I389" s="387"/>
      <c r="J389" s="550"/>
      <c r="K389" s="551"/>
      <c r="L389" s="551"/>
      <c r="M389" s="551"/>
      <c r="N389" s="387"/>
      <c r="O389" s="387"/>
      <c r="P389" s="551"/>
      <c r="Q389" s="394"/>
      <c r="R389" s="551"/>
      <c r="S389" s="395"/>
      <c r="T389" s="395"/>
      <c r="U389" s="395"/>
      <c r="V389" s="395"/>
      <c r="W389" s="395"/>
      <c r="X389" s="622"/>
      <c r="Y389" s="458"/>
      <c r="Z389" s="458"/>
      <c r="AA389" s="458"/>
    </row>
    <row r="390" spans="1:27" s="303" customFormat="1" ht="14.25">
      <c r="A390" s="384"/>
      <c r="B390" s="384"/>
      <c r="C390" s="384"/>
      <c r="D390" s="384"/>
      <c r="E390" s="384"/>
      <c r="F390" s="384"/>
      <c r="G390" s="388"/>
      <c r="H390" s="389"/>
      <c r="I390" s="388"/>
      <c r="J390" s="391"/>
      <c r="K390" s="392"/>
      <c r="L390" s="392"/>
      <c r="M390" s="392"/>
      <c r="N390" s="388"/>
      <c r="O390" s="388"/>
      <c r="P390" s="392"/>
      <c r="Q390" s="394"/>
      <c r="R390" s="392"/>
      <c r="S390" s="395"/>
      <c r="T390" s="396"/>
      <c r="U390" s="396"/>
      <c r="V390" s="396"/>
      <c r="W390" s="396"/>
      <c r="X390" s="397"/>
      <c r="Y390" s="339"/>
      <c r="Z390" s="339"/>
      <c r="AA390" s="339"/>
    </row>
    <row r="391" spans="1:27" s="303" customFormat="1" ht="14.25">
      <c r="A391" s="384"/>
      <c r="B391" s="384"/>
      <c r="C391" s="384"/>
      <c r="D391" s="384"/>
      <c r="E391" s="384"/>
      <c r="F391" s="384"/>
      <c r="G391" s="387"/>
      <c r="H391" s="549"/>
      <c r="I391" s="387"/>
      <c r="J391" s="550"/>
      <c r="K391" s="551"/>
      <c r="L391" s="551"/>
      <c r="M391" s="551"/>
      <c r="N391" s="387"/>
      <c r="O391" s="387"/>
      <c r="P391" s="551"/>
      <c r="Q391" s="394"/>
      <c r="R391" s="551"/>
      <c r="S391" s="395"/>
      <c r="T391" s="395"/>
      <c r="U391" s="395"/>
      <c r="V391" s="395"/>
      <c r="W391" s="395"/>
      <c r="X391" s="622"/>
      <c r="Y391" s="458"/>
      <c r="Z391" s="458"/>
      <c r="AA391" s="458"/>
    </row>
    <row r="392" spans="1:27" s="303" customFormat="1" ht="14.25">
      <c r="A392" s="384"/>
      <c r="B392" s="384"/>
      <c r="C392" s="384"/>
      <c r="D392" s="384"/>
      <c r="E392" s="384"/>
      <c r="F392" s="384"/>
      <c r="G392" s="388"/>
      <c r="H392" s="389"/>
      <c r="I392" s="388"/>
      <c r="J392" s="391"/>
      <c r="K392" s="392"/>
      <c r="L392" s="392"/>
      <c r="M392" s="392"/>
      <c r="N392" s="388"/>
      <c r="O392" s="388"/>
      <c r="P392" s="392"/>
      <c r="Q392" s="394"/>
      <c r="R392" s="392"/>
      <c r="S392" s="395"/>
      <c r="T392" s="396"/>
      <c r="U392" s="396"/>
      <c r="V392" s="396"/>
      <c r="W392" s="396"/>
      <c r="X392" s="397"/>
      <c r="Y392" s="339"/>
      <c r="Z392" s="339"/>
      <c r="AA392" s="339"/>
    </row>
    <row r="393" spans="1:27" s="303" customFormat="1" ht="14.25">
      <c r="A393" s="384"/>
      <c r="B393" s="384"/>
      <c r="C393" s="384"/>
      <c r="D393" s="384"/>
      <c r="E393" s="384"/>
      <c r="F393" s="384"/>
      <c r="G393" s="387"/>
      <c r="H393" s="549"/>
      <c r="I393" s="387"/>
      <c r="J393" s="550"/>
      <c r="K393" s="551"/>
      <c r="L393" s="551"/>
      <c r="M393" s="551"/>
      <c r="N393" s="387"/>
      <c r="O393" s="387"/>
      <c r="P393" s="551"/>
      <c r="Q393" s="394"/>
      <c r="R393" s="551"/>
      <c r="S393" s="395"/>
      <c r="T393" s="395"/>
      <c r="U393" s="395"/>
      <c r="V393" s="395"/>
      <c r="W393" s="395"/>
      <c r="X393" s="622"/>
      <c r="Y393" s="458"/>
      <c r="Z393" s="458"/>
      <c r="AA393" s="458"/>
    </row>
    <row r="394" spans="1:27" s="303" customFormat="1" ht="14.25">
      <c r="A394" s="384"/>
      <c r="B394" s="384"/>
      <c r="C394" s="384"/>
      <c r="D394" s="384"/>
      <c r="E394" s="384"/>
      <c r="F394" s="384"/>
      <c r="G394" s="388"/>
      <c r="H394" s="389"/>
      <c r="I394" s="388"/>
      <c r="J394" s="391"/>
      <c r="K394" s="392"/>
      <c r="L394" s="392"/>
      <c r="M394" s="392"/>
      <c r="N394" s="388"/>
      <c r="O394" s="388"/>
      <c r="P394" s="392"/>
      <c r="Q394" s="394"/>
      <c r="R394" s="392"/>
      <c r="S394" s="395"/>
      <c r="T394" s="396"/>
      <c r="U394" s="396"/>
      <c r="V394" s="396"/>
      <c r="W394" s="396"/>
      <c r="X394" s="397"/>
      <c r="Y394" s="339"/>
      <c r="Z394" s="339"/>
      <c r="AA394" s="339"/>
    </row>
    <row r="395" spans="1:27" s="303" customFormat="1" ht="14.25">
      <c r="A395" s="384"/>
      <c r="B395" s="384"/>
      <c r="C395" s="384"/>
      <c r="D395" s="384"/>
      <c r="E395" s="384"/>
      <c r="F395" s="384"/>
      <c r="G395" s="387"/>
      <c r="H395" s="549"/>
      <c r="I395" s="387"/>
      <c r="J395" s="550"/>
      <c r="K395" s="551"/>
      <c r="L395" s="551"/>
      <c r="M395" s="551"/>
      <c r="N395" s="387"/>
      <c r="O395" s="387"/>
      <c r="P395" s="551"/>
      <c r="Q395" s="394"/>
      <c r="R395" s="551"/>
      <c r="S395" s="395"/>
      <c r="T395" s="395"/>
      <c r="U395" s="395"/>
      <c r="V395" s="395"/>
      <c r="W395" s="395"/>
      <c r="X395" s="622"/>
      <c r="Y395" s="458"/>
      <c r="Z395" s="458"/>
      <c r="AA395" s="458"/>
    </row>
    <row r="396" spans="1:27" s="303" customFormat="1" ht="14.25">
      <c r="A396" s="384"/>
      <c r="B396" s="384"/>
      <c r="C396" s="384"/>
      <c r="D396" s="384"/>
      <c r="E396" s="384"/>
      <c r="F396" s="384"/>
      <c r="G396" s="388"/>
      <c r="H396" s="389"/>
      <c r="I396" s="388"/>
      <c r="J396" s="391"/>
      <c r="K396" s="392"/>
      <c r="L396" s="392"/>
      <c r="M396" s="392"/>
      <c r="N396" s="388"/>
      <c r="O396" s="388"/>
      <c r="P396" s="392"/>
      <c r="Q396" s="394"/>
      <c r="R396" s="392"/>
      <c r="S396" s="395"/>
      <c r="T396" s="396"/>
      <c r="U396" s="396"/>
      <c r="V396" s="396"/>
      <c r="W396" s="396"/>
      <c r="X396" s="397"/>
      <c r="Y396" s="339"/>
      <c r="Z396" s="339"/>
      <c r="AA396" s="339"/>
    </row>
    <row r="397" spans="1:27" s="303" customFormat="1" ht="14.25">
      <c r="A397" s="384"/>
      <c r="B397" s="384"/>
      <c r="C397" s="384"/>
      <c r="D397" s="384"/>
      <c r="E397" s="384"/>
      <c r="F397" s="384"/>
      <c r="G397" s="387"/>
      <c r="H397" s="549"/>
      <c r="I397" s="387"/>
      <c r="J397" s="550"/>
      <c r="K397" s="551"/>
      <c r="L397" s="551"/>
      <c r="M397" s="551"/>
      <c r="N397" s="387"/>
      <c r="O397" s="387"/>
      <c r="P397" s="551"/>
      <c r="Q397" s="394"/>
      <c r="R397" s="551"/>
      <c r="S397" s="395"/>
      <c r="T397" s="395"/>
      <c r="U397" s="395"/>
      <c r="V397" s="395"/>
      <c r="W397" s="395"/>
      <c r="X397" s="622"/>
      <c r="Y397" s="458"/>
      <c r="Z397" s="458"/>
      <c r="AA397" s="458"/>
    </row>
    <row r="398" spans="1:27" s="303" customFormat="1" ht="14.25">
      <c r="A398" s="384"/>
      <c r="B398" s="384"/>
      <c r="C398" s="384"/>
      <c r="D398" s="384"/>
      <c r="E398" s="384"/>
      <c r="F398" s="384"/>
      <c r="G398" s="388"/>
      <c r="H398" s="389"/>
      <c r="I398" s="388"/>
      <c r="J398" s="391"/>
      <c r="K398" s="392"/>
      <c r="L398" s="392"/>
      <c r="M398" s="392"/>
      <c r="N398" s="388"/>
      <c r="O398" s="388"/>
      <c r="P398" s="392"/>
      <c r="Q398" s="394"/>
      <c r="R398" s="392"/>
      <c r="S398" s="395"/>
      <c r="T398" s="396"/>
      <c r="U398" s="396"/>
      <c r="V398" s="396"/>
      <c r="W398" s="396"/>
      <c r="X398" s="397"/>
      <c r="Y398" s="339"/>
      <c r="Z398" s="339"/>
      <c r="AA398" s="339"/>
    </row>
    <row r="399" spans="1:27" s="303" customFormat="1" ht="14.25">
      <c r="A399" s="384"/>
      <c r="B399" s="384"/>
      <c r="C399" s="384"/>
      <c r="D399" s="384"/>
      <c r="E399" s="384"/>
      <c r="F399" s="384"/>
      <c r="G399" s="387"/>
      <c r="H399" s="549"/>
      <c r="I399" s="387"/>
      <c r="J399" s="550"/>
      <c r="K399" s="551"/>
      <c r="L399" s="551"/>
      <c r="M399" s="551"/>
      <c r="N399" s="387"/>
      <c r="O399" s="387"/>
      <c r="P399" s="551"/>
      <c r="Q399" s="394"/>
      <c r="R399" s="551"/>
      <c r="S399" s="395"/>
      <c r="T399" s="395"/>
      <c r="U399" s="395"/>
      <c r="V399" s="395"/>
      <c r="W399" s="395"/>
      <c r="X399" s="622"/>
      <c r="Y399" s="458"/>
      <c r="Z399" s="458"/>
      <c r="AA399" s="458"/>
    </row>
    <row r="400" spans="1:27" s="303" customFormat="1" ht="14.25">
      <c r="A400" s="384"/>
      <c r="B400" s="384"/>
      <c r="C400" s="384"/>
      <c r="D400" s="384"/>
      <c r="E400" s="384"/>
      <c r="F400" s="384"/>
      <c r="G400" s="388"/>
      <c r="H400" s="389"/>
      <c r="I400" s="388"/>
      <c r="J400" s="391"/>
      <c r="K400" s="392"/>
      <c r="L400" s="392"/>
      <c r="M400" s="392"/>
      <c r="N400" s="388"/>
      <c r="O400" s="388"/>
      <c r="P400" s="392"/>
      <c r="Q400" s="394"/>
      <c r="R400" s="392"/>
      <c r="S400" s="395"/>
      <c r="T400" s="396"/>
      <c r="U400" s="396"/>
      <c r="V400" s="396"/>
      <c r="W400" s="396"/>
      <c r="X400" s="397"/>
      <c r="Y400" s="339"/>
      <c r="Z400" s="339"/>
      <c r="AA400" s="339"/>
    </row>
    <row r="401" spans="1:27" s="303" customFormat="1" ht="14.25">
      <c r="A401" s="384"/>
      <c r="B401" s="384"/>
      <c r="C401" s="384"/>
      <c r="D401" s="384"/>
      <c r="E401" s="384"/>
      <c r="F401" s="384"/>
      <c r="G401" s="387"/>
      <c r="H401" s="549"/>
      <c r="I401" s="387"/>
      <c r="J401" s="550"/>
      <c r="K401" s="551"/>
      <c r="L401" s="551"/>
      <c r="M401" s="551"/>
      <c r="N401" s="387"/>
      <c r="O401" s="387"/>
      <c r="P401" s="551"/>
      <c r="Q401" s="394"/>
      <c r="R401" s="551"/>
      <c r="S401" s="395"/>
      <c r="T401" s="395"/>
      <c r="U401" s="395"/>
      <c r="V401" s="395"/>
      <c r="W401" s="395"/>
      <c r="X401" s="622"/>
      <c r="Y401" s="458"/>
      <c r="Z401" s="458"/>
      <c r="AA401" s="458"/>
    </row>
    <row r="402" spans="1:27" s="303" customFormat="1" ht="14.25">
      <c r="A402" s="384"/>
      <c r="B402" s="384"/>
      <c r="C402" s="384"/>
      <c r="D402" s="384"/>
      <c r="E402" s="384"/>
      <c r="F402" s="384"/>
      <c r="G402" s="388"/>
      <c r="H402" s="389"/>
      <c r="I402" s="388"/>
      <c r="J402" s="391"/>
      <c r="K402" s="392"/>
      <c r="L402" s="392"/>
      <c r="M402" s="392"/>
      <c r="N402" s="388"/>
      <c r="O402" s="388"/>
      <c r="P402" s="392"/>
      <c r="Q402" s="394"/>
      <c r="R402" s="392"/>
      <c r="S402" s="395"/>
      <c r="T402" s="396"/>
      <c r="U402" s="396"/>
      <c r="V402" s="396"/>
      <c r="W402" s="396"/>
      <c r="X402" s="397"/>
      <c r="Y402" s="339"/>
      <c r="Z402" s="339"/>
      <c r="AA402" s="339"/>
    </row>
    <row r="403" spans="1:27" s="303" customFormat="1" ht="14.25">
      <c r="A403" s="384"/>
      <c r="B403" s="384"/>
      <c r="C403" s="384"/>
      <c r="D403" s="384"/>
      <c r="E403" s="384"/>
      <c r="F403" s="384"/>
      <c r="G403" s="387"/>
      <c r="H403" s="549"/>
      <c r="I403" s="387"/>
      <c r="J403" s="550"/>
      <c r="K403" s="551"/>
      <c r="L403" s="551"/>
      <c r="M403" s="551"/>
      <c r="N403" s="387"/>
      <c r="O403" s="387"/>
      <c r="P403" s="551"/>
      <c r="Q403" s="394"/>
      <c r="R403" s="551"/>
      <c r="S403" s="395"/>
      <c r="T403" s="395"/>
      <c r="U403" s="395"/>
      <c r="V403" s="395"/>
      <c r="W403" s="395"/>
      <c r="X403" s="622"/>
      <c r="Y403" s="458"/>
      <c r="Z403" s="458"/>
      <c r="AA403" s="458"/>
    </row>
    <row r="404" spans="1:27" s="303" customFormat="1" ht="14.25">
      <c r="A404" s="384"/>
      <c r="B404" s="384"/>
      <c r="C404" s="384"/>
      <c r="D404" s="384"/>
      <c r="E404" s="384"/>
      <c r="F404" s="384"/>
      <c r="G404" s="388"/>
      <c r="H404" s="389"/>
      <c r="I404" s="388"/>
      <c r="J404" s="391"/>
      <c r="K404" s="392"/>
      <c r="L404" s="392"/>
      <c r="M404" s="392"/>
      <c r="N404" s="388"/>
      <c r="O404" s="388"/>
      <c r="P404" s="392"/>
      <c r="Q404" s="394"/>
      <c r="R404" s="392"/>
      <c r="S404" s="395"/>
      <c r="T404" s="396"/>
      <c r="U404" s="396"/>
      <c r="V404" s="396"/>
      <c r="W404" s="396"/>
      <c r="X404" s="397"/>
      <c r="Y404" s="339"/>
      <c r="Z404" s="339"/>
      <c r="AA404" s="339"/>
    </row>
    <row r="405" spans="1:27" s="303" customFormat="1" ht="14.25">
      <c r="A405" s="384"/>
      <c r="B405" s="384"/>
      <c r="C405" s="384"/>
      <c r="D405" s="384"/>
      <c r="E405" s="384"/>
      <c r="F405" s="384"/>
      <c r="G405" s="387"/>
      <c r="H405" s="549"/>
      <c r="I405" s="387"/>
      <c r="J405" s="550"/>
      <c r="K405" s="551"/>
      <c r="L405" s="551"/>
      <c r="M405" s="551"/>
      <c r="N405" s="387"/>
      <c r="O405" s="387"/>
      <c r="P405" s="551"/>
      <c r="Q405" s="394"/>
      <c r="R405" s="551"/>
      <c r="S405" s="395"/>
      <c r="T405" s="395"/>
      <c r="U405" s="395"/>
      <c r="V405" s="395"/>
      <c r="W405" s="395"/>
      <c r="X405" s="622"/>
      <c r="Y405" s="458"/>
      <c r="Z405" s="458"/>
      <c r="AA405" s="458"/>
    </row>
    <row r="406" spans="1:27" s="303" customFormat="1" ht="14.25">
      <c r="A406" s="384"/>
      <c r="B406" s="384"/>
      <c r="C406" s="384"/>
      <c r="D406" s="384"/>
      <c r="E406" s="384"/>
      <c r="F406" s="384"/>
      <c r="G406" s="388"/>
      <c r="H406" s="389"/>
      <c r="I406" s="388"/>
      <c r="J406" s="391"/>
      <c r="K406" s="392"/>
      <c r="L406" s="392"/>
      <c r="M406" s="392"/>
      <c r="N406" s="388"/>
      <c r="O406" s="388"/>
      <c r="P406" s="392"/>
      <c r="Q406" s="394"/>
      <c r="R406" s="392"/>
      <c r="S406" s="395"/>
      <c r="T406" s="396"/>
      <c r="U406" s="396"/>
      <c r="V406" s="396"/>
      <c r="W406" s="396"/>
      <c r="X406" s="397"/>
      <c r="Y406" s="339"/>
      <c r="Z406" s="339"/>
      <c r="AA406" s="339"/>
    </row>
    <row r="407" spans="1:27" s="303" customFormat="1" ht="14.25">
      <c r="A407" s="384"/>
      <c r="B407" s="384"/>
      <c r="C407" s="384"/>
      <c r="D407" s="384"/>
      <c r="E407" s="384"/>
      <c r="F407" s="384"/>
      <c r="G407" s="387"/>
      <c r="H407" s="549"/>
      <c r="I407" s="387"/>
      <c r="J407" s="550"/>
      <c r="K407" s="551"/>
      <c r="L407" s="551"/>
      <c r="M407" s="551"/>
      <c r="N407" s="387"/>
      <c r="O407" s="387"/>
      <c r="P407" s="551"/>
      <c r="Q407" s="394"/>
      <c r="R407" s="551"/>
      <c r="S407" s="395"/>
      <c r="T407" s="395"/>
      <c r="U407" s="395"/>
      <c r="V407" s="395"/>
      <c r="W407" s="395"/>
      <c r="X407" s="622"/>
      <c r="Y407" s="458"/>
      <c r="Z407" s="458"/>
      <c r="AA407" s="458"/>
    </row>
    <row r="408" spans="1:27" s="303" customFormat="1" ht="14.25">
      <c r="A408" s="384"/>
      <c r="B408" s="384"/>
      <c r="C408" s="384"/>
      <c r="D408" s="384"/>
      <c r="E408" s="384"/>
      <c r="F408" s="384"/>
      <c r="G408" s="388"/>
      <c r="H408" s="389"/>
      <c r="I408" s="388"/>
      <c r="J408" s="391"/>
      <c r="K408" s="392"/>
      <c r="L408" s="392"/>
      <c r="M408" s="392"/>
      <c r="N408" s="388"/>
      <c r="O408" s="388"/>
      <c r="P408" s="392"/>
      <c r="Q408" s="394"/>
      <c r="R408" s="392"/>
      <c r="S408" s="395"/>
      <c r="T408" s="396"/>
      <c r="U408" s="396"/>
      <c r="V408" s="396"/>
      <c r="W408" s="396"/>
      <c r="X408" s="397"/>
      <c r="Y408" s="339"/>
      <c r="Z408" s="339"/>
      <c r="AA408" s="339"/>
    </row>
    <row r="409" spans="1:27" s="303" customFormat="1" ht="14.25">
      <c r="A409" s="384"/>
      <c r="B409" s="384"/>
      <c r="C409" s="384"/>
      <c r="D409" s="384"/>
      <c r="E409" s="384"/>
      <c r="F409" s="384"/>
      <c r="G409" s="387"/>
      <c r="H409" s="549"/>
      <c r="I409" s="387"/>
      <c r="J409" s="550"/>
      <c r="K409" s="551"/>
      <c r="L409" s="551"/>
      <c r="M409" s="551"/>
      <c r="N409" s="387"/>
      <c r="O409" s="387"/>
      <c r="P409" s="551"/>
      <c r="Q409" s="394"/>
      <c r="R409" s="551"/>
      <c r="S409" s="395"/>
      <c r="T409" s="395"/>
      <c r="U409" s="395"/>
      <c r="V409" s="395"/>
      <c r="W409" s="395"/>
      <c r="X409" s="622"/>
      <c r="Y409" s="458"/>
      <c r="Z409" s="458"/>
      <c r="AA409" s="458"/>
    </row>
    <row r="410" spans="1:27" s="303" customFormat="1" ht="14.25">
      <c r="A410" s="384"/>
      <c r="B410" s="384"/>
      <c r="C410" s="384"/>
      <c r="D410" s="384"/>
      <c r="E410" s="384"/>
      <c r="F410" s="384"/>
      <c r="G410" s="388"/>
      <c r="H410" s="389"/>
      <c r="I410" s="388"/>
      <c r="J410" s="391"/>
      <c r="K410" s="392"/>
      <c r="L410" s="392"/>
      <c r="M410" s="392"/>
      <c r="N410" s="388"/>
      <c r="O410" s="388"/>
      <c r="P410" s="392"/>
      <c r="Q410" s="394"/>
      <c r="R410" s="392"/>
      <c r="S410" s="395"/>
      <c r="T410" s="396"/>
      <c r="U410" s="396"/>
      <c r="V410" s="396"/>
      <c r="W410" s="396"/>
      <c r="X410" s="397"/>
      <c r="Y410" s="339"/>
      <c r="Z410" s="339"/>
      <c r="AA410" s="339"/>
    </row>
    <row r="411" spans="1:27" s="303" customFormat="1" ht="14.25">
      <c r="A411" s="384"/>
      <c r="B411" s="384"/>
      <c r="C411" s="384"/>
      <c r="D411" s="384"/>
      <c r="E411" s="384"/>
      <c r="F411" s="384"/>
      <c r="G411" s="387"/>
      <c r="H411" s="549"/>
      <c r="I411" s="387"/>
      <c r="J411" s="550"/>
      <c r="K411" s="551"/>
      <c r="L411" s="551"/>
      <c r="M411" s="551"/>
      <c r="N411" s="387"/>
      <c r="O411" s="387"/>
      <c r="P411" s="551"/>
      <c r="Q411" s="394"/>
      <c r="R411" s="551"/>
      <c r="S411" s="395"/>
      <c r="T411" s="395"/>
      <c r="U411" s="395"/>
      <c r="V411" s="395"/>
      <c r="W411" s="395"/>
      <c r="X411" s="622"/>
      <c r="Y411" s="458"/>
      <c r="Z411" s="458"/>
      <c r="AA411" s="458"/>
    </row>
    <row r="412" spans="1:27" s="303" customFormat="1" ht="14.25">
      <c r="A412" s="384"/>
      <c r="B412" s="384"/>
      <c r="C412" s="384"/>
      <c r="D412" s="384"/>
      <c r="E412" s="384"/>
      <c r="F412" s="384"/>
      <c r="G412" s="388"/>
      <c r="H412" s="389"/>
      <c r="I412" s="388"/>
      <c r="J412" s="391"/>
      <c r="K412" s="392"/>
      <c r="L412" s="392"/>
      <c r="M412" s="392"/>
      <c r="N412" s="388"/>
      <c r="O412" s="388"/>
      <c r="P412" s="392"/>
      <c r="Q412" s="394"/>
      <c r="R412" s="392"/>
      <c r="S412" s="395"/>
      <c r="T412" s="396"/>
      <c r="U412" s="396"/>
      <c r="V412" s="396"/>
      <c r="W412" s="396"/>
      <c r="X412" s="397"/>
      <c r="Y412" s="339"/>
      <c r="Z412" s="339"/>
      <c r="AA412" s="339"/>
    </row>
    <row r="413" spans="1:27" s="303" customFormat="1" ht="14.25">
      <c r="A413" s="384"/>
      <c r="B413" s="384"/>
      <c r="C413" s="384"/>
      <c r="D413" s="384"/>
      <c r="E413" s="384"/>
      <c r="F413" s="384"/>
      <c r="G413" s="387"/>
      <c r="H413" s="549"/>
      <c r="I413" s="387"/>
      <c r="J413" s="550"/>
      <c r="K413" s="551"/>
      <c r="L413" s="551"/>
      <c r="M413" s="551"/>
      <c r="N413" s="387"/>
      <c r="O413" s="387"/>
      <c r="P413" s="551"/>
      <c r="Q413" s="394"/>
      <c r="R413" s="551"/>
      <c r="S413" s="395"/>
      <c r="T413" s="395"/>
      <c r="U413" s="395"/>
      <c r="V413" s="395"/>
      <c r="W413" s="395"/>
      <c r="X413" s="622"/>
      <c r="Y413" s="458"/>
      <c r="Z413" s="458"/>
      <c r="AA413" s="458"/>
    </row>
    <row r="414" spans="1:27" s="303" customFormat="1" ht="14.25">
      <c r="A414" s="384"/>
      <c r="B414" s="384"/>
      <c r="C414" s="384"/>
      <c r="D414" s="384"/>
      <c r="E414" s="384"/>
      <c r="F414" s="384"/>
      <c r="G414" s="388"/>
      <c r="H414" s="389"/>
      <c r="I414" s="388"/>
      <c r="J414" s="391"/>
      <c r="K414" s="392"/>
      <c r="L414" s="392"/>
      <c r="M414" s="392"/>
      <c r="N414" s="388"/>
      <c r="O414" s="388"/>
      <c r="P414" s="392"/>
      <c r="Q414" s="394"/>
      <c r="R414" s="392"/>
      <c r="S414" s="395"/>
      <c r="T414" s="396"/>
      <c r="U414" s="396"/>
      <c r="V414" s="396"/>
      <c r="W414" s="396"/>
      <c r="X414" s="397"/>
      <c r="Y414" s="339"/>
      <c r="Z414" s="339"/>
      <c r="AA414" s="339"/>
    </row>
    <row r="415" spans="1:27" s="303" customFormat="1" ht="14.25">
      <c r="A415" s="384"/>
      <c r="B415" s="384"/>
      <c r="C415" s="384"/>
      <c r="D415" s="384"/>
      <c r="E415" s="384"/>
      <c r="F415" s="384"/>
      <c r="G415" s="387"/>
      <c r="H415" s="549"/>
      <c r="I415" s="387"/>
      <c r="J415" s="550"/>
      <c r="K415" s="551"/>
      <c r="L415" s="551"/>
      <c r="M415" s="551"/>
      <c r="N415" s="387"/>
      <c r="O415" s="387"/>
      <c r="P415" s="551"/>
      <c r="Q415" s="394"/>
      <c r="R415" s="551"/>
      <c r="S415" s="395"/>
      <c r="T415" s="395"/>
      <c r="U415" s="395"/>
      <c r="V415" s="395"/>
      <c r="W415" s="395"/>
      <c r="X415" s="622"/>
      <c r="Y415" s="458"/>
      <c r="Z415" s="458"/>
      <c r="AA415" s="458"/>
    </row>
    <row r="416" spans="1:27" s="303" customFormat="1" ht="14.25">
      <c r="A416" s="384"/>
      <c r="B416" s="384"/>
      <c r="C416" s="384"/>
      <c r="D416" s="384"/>
      <c r="E416" s="384"/>
      <c r="F416" s="384"/>
      <c r="G416" s="388"/>
      <c r="H416" s="389"/>
      <c r="I416" s="388"/>
      <c r="J416" s="391"/>
      <c r="K416" s="392"/>
      <c r="L416" s="392"/>
      <c r="M416" s="392"/>
      <c r="N416" s="388"/>
      <c r="O416" s="388"/>
      <c r="P416" s="392"/>
      <c r="Q416" s="394"/>
      <c r="R416" s="392"/>
      <c r="S416" s="395"/>
      <c r="T416" s="396"/>
      <c r="U416" s="396"/>
      <c r="V416" s="396"/>
      <c r="W416" s="396"/>
      <c r="X416" s="397"/>
      <c r="Y416" s="339"/>
      <c r="Z416" s="339"/>
      <c r="AA416" s="339"/>
    </row>
    <row r="417" spans="1:27" s="303" customFormat="1" ht="14.25">
      <c r="A417" s="384"/>
      <c r="B417" s="384"/>
      <c r="C417" s="384"/>
      <c r="D417" s="384"/>
      <c r="E417" s="384"/>
      <c r="F417" s="384"/>
      <c r="G417" s="387"/>
      <c r="H417" s="549"/>
      <c r="I417" s="387"/>
      <c r="J417" s="550"/>
      <c r="K417" s="551"/>
      <c r="L417" s="551"/>
      <c r="M417" s="551"/>
      <c r="N417" s="387"/>
      <c r="O417" s="387"/>
      <c r="P417" s="551"/>
      <c r="Q417" s="394"/>
      <c r="R417" s="551"/>
      <c r="S417" s="395"/>
      <c r="T417" s="395"/>
      <c r="U417" s="395"/>
      <c r="V417" s="395"/>
      <c r="W417" s="395"/>
      <c r="X417" s="622"/>
      <c r="Y417" s="458"/>
      <c r="Z417" s="458"/>
      <c r="AA417" s="458"/>
    </row>
    <row r="418" spans="1:27" s="303" customFormat="1" ht="14.25">
      <c r="A418" s="384"/>
      <c r="B418" s="384"/>
      <c r="C418" s="384"/>
      <c r="D418" s="384"/>
      <c r="E418" s="384"/>
      <c r="F418" s="384"/>
      <c r="G418" s="388"/>
      <c r="H418" s="389"/>
      <c r="I418" s="388"/>
      <c r="J418" s="391"/>
      <c r="K418" s="392"/>
      <c r="L418" s="392"/>
      <c r="M418" s="392"/>
      <c r="N418" s="388"/>
      <c r="O418" s="388"/>
      <c r="P418" s="392"/>
      <c r="Q418" s="394"/>
      <c r="R418" s="392"/>
      <c r="S418" s="395"/>
      <c r="T418" s="396"/>
      <c r="U418" s="396"/>
      <c r="V418" s="396"/>
      <c r="W418" s="396"/>
      <c r="X418" s="397"/>
      <c r="Y418" s="339"/>
      <c r="Z418" s="339"/>
      <c r="AA418" s="339"/>
    </row>
    <row r="419" spans="1:27" s="303" customFormat="1" ht="14.25">
      <c r="A419" s="384"/>
      <c r="B419" s="384"/>
      <c r="C419" s="384"/>
      <c r="D419" s="384"/>
      <c r="E419" s="384"/>
      <c r="F419" s="384"/>
      <c r="G419" s="387"/>
      <c r="H419" s="549"/>
      <c r="I419" s="387"/>
      <c r="J419" s="550"/>
      <c r="K419" s="551"/>
      <c r="L419" s="551"/>
      <c r="M419" s="551"/>
      <c r="N419" s="387"/>
      <c r="O419" s="387"/>
      <c r="P419" s="551"/>
      <c r="Q419" s="394"/>
      <c r="R419" s="551"/>
      <c r="S419" s="395"/>
      <c r="T419" s="395"/>
      <c r="U419" s="395"/>
      <c r="V419" s="395"/>
      <c r="W419" s="395"/>
      <c r="X419" s="622"/>
      <c r="Y419" s="458"/>
      <c r="Z419" s="458"/>
      <c r="AA419" s="458"/>
    </row>
    <row r="420" spans="1:27" s="303" customFormat="1" ht="14.25">
      <c r="A420" s="384"/>
      <c r="B420" s="384"/>
      <c r="C420" s="384"/>
      <c r="D420" s="384"/>
      <c r="E420" s="384"/>
      <c r="F420" s="384"/>
      <c r="G420" s="388"/>
      <c r="H420" s="389"/>
      <c r="I420" s="388"/>
      <c r="J420" s="391"/>
      <c r="K420" s="392"/>
      <c r="L420" s="392"/>
      <c r="M420" s="392"/>
      <c r="N420" s="388"/>
      <c r="O420" s="388"/>
      <c r="P420" s="392"/>
      <c r="Q420" s="394"/>
      <c r="R420" s="392"/>
      <c r="S420" s="395"/>
      <c r="T420" s="396"/>
      <c r="U420" s="396"/>
      <c r="V420" s="396"/>
      <c r="W420" s="396"/>
      <c r="X420" s="397"/>
      <c r="Y420" s="339"/>
      <c r="Z420" s="339"/>
      <c r="AA420" s="339"/>
    </row>
    <row r="421" spans="1:27" s="303" customFormat="1" ht="14.25">
      <c r="A421" s="384"/>
      <c r="B421" s="384"/>
      <c r="C421" s="384"/>
      <c r="D421" s="384"/>
      <c r="E421" s="384"/>
      <c r="F421" s="384"/>
      <c r="G421" s="387"/>
      <c r="H421" s="549"/>
      <c r="I421" s="387"/>
      <c r="J421" s="550"/>
      <c r="K421" s="551"/>
      <c r="L421" s="551"/>
      <c r="M421" s="551"/>
      <c r="N421" s="387"/>
      <c r="O421" s="387"/>
      <c r="P421" s="551"/>
      <c r="Q421" s="394"/>
      <c r="R421" s="551"/>
      <c r="S421" s="395"/>
      <c r="T421" s="395"/>
      <c r="U421" s="395"/>
      <c r="V421" s="395"/>
      <c r="W421" s="395"/>
      <c r="X421" s="622"/>
      <c r="Y421" s="458"/>
      <c r="Z421" s="458"/>
      <c r="AA421" s="458"/>
    </row>
    <row r="422" spans="1:27" s="303" customFormat="1" ht="14.25">
      <c r="A422" s="384"/>
      <c r="B422" s="384"/>
      <c r="C422" s="384"/>
      <c r="D422" s="384"/>
      <c r="E422" s="384"/>
      <c r="F422" s="384"/>
      <c r="G422" s="388"/>
      <c r="H422" s="389"/>
      <c r="I422" s="388"/>
      <c r="J422" s="391"/>
      <c r="K422" s="392"/>
      <c r="L422" s="392"/>
      <c r="M422" s="392"/>
      <c r="N422" s="388"/>
      <c r="O422" s="388"/>
      <c r="P422" s="392"/>
      <c r="Q422" s="394"/>
      <c r="R422" s="392"/>
      <c r="S422" s="395"/>
      <c r="T422" s="396"/>
      <c r="U422" s="396"/>
      <c r="V422" s="396"/>
      <c r="W422" s="396"/>
      <c r="X422" s="397"/>
      <c r="Y422" s="339"/>
      <c r="Z422" s="339"/>
      <c r="AA422" s="339"/>
    </row>
    <row r="423" spans="1:27" s="303" customFormat="1" ht="14.25">
      <c r="A423" s="384"/>
      <c r="B423" s="384"/>
      <c r="C423" s="384"/>
      <c r="D423" s="384"/>
      <c r="E423" s="384"/>
      <c r="F423" s="384"/>
      <c r="G423" s="387"/>
      <c r="H423" s="549"/>
      <c r="I423" s="387"/>
      <c r="J423" s="550"/>
      <c r="K423" s="551"/>
      <c r="L423" s="551"/>
      <c r="M423" s="551"/>
      <c r="N423" s="387"/>
      <c r="O423" s="387"/>
      <c r="P423" s="551"/>
      <c r="Q423" s="394"/>
      <c r="R423" s="551"/>
      <c r="S423" s="395"/>
      <c r="T423" s="395"/>
      <c r="U423" s="395"/>
      <c r="V423" s="395"/>
      <c r="W423" s="395"/>
      <c r="X423" s="622"/>
      <c r="Y423" s="458"/>
      <c r="Z423" s="458"/>
      <c r="AA423" s="458"/>
    </row>
    <row r="424" spans="1:27" s="303" customFormat="1" ht="14.25">
      <c r="A424" s="384"/>
      <c r="B424" s="384"/>
      <c r="C424" s="384"/>
      <c r="D424" s="384"/>
      <c r="E424" s="384"/>
      <c r="F424" s="384"/>
      <c r="G424" s="388"/>
      <c r="H424" s="389"/>
      <c r="I424" s="388"/>
      <c r="J424" s="391"/>
      <c r="K424" s="392"/>
      <c r="L424" s="392"/>
      <c r="M424" s="392"/>
      <c r="N424" s="388"/>
      <c r="O424" s="388"/>
      <c r="P424" s="392"/>
      <c r="Q424" s="394"/>
      <c r="R424" s="392"/>
      <c r="S424" s="395"/>
      <c r="T424" s="396"/>
      <c r="U424" s="396"/>
      <c r="V424" s="396"/>
      <c r="W424" s="396"/>
      <c r="X424" s="397"/>
      <c r="Y424" s="339"/>
      <c r="Z424" s="339"/>
      <c r="AA424" s="339"/>
    </row>
    <row r="425" spans="1:27" s="303" customFormat="1" ht="14.25">
      <c r="A425" s="384"/>
      <c r="B425" s="384"/>
      <c r="C425" s="384"/>
      <c r="D425" s="384"/>
      <c r="E425" s="384"/>
      <c r="F425" s="384"/>
      <c r="G425" s="387"/>
      <c r="H425" s="549"/>
      <c r="I425" s="387"/>
      <c r="J425" s="550"/>
      <c r="K425" s="551"/>
      <c r="L425" s="551"/>
      <c r="M425" s="551"/>
      <c r="N425" s="387"/>
      <c r="O425" s="387"/>
      <c r="P425" s="551"/>
      <c r="Q425" s="394"/>
      <c r="R425" s="551"/>
      <c r="S425" s="395"/>
      <c r="T425" s="395"/>
      <c r="U425" s="395"/>
      <c r="V425" s="395"/>
      <c r="W425" s="395"/>
      <c r="X425" s="622"/>
      <c r="Y425" s="458"/>
      <c r="Z425" s="458"/>
      <c r="AA425" s="458"/>
    </row>
    <row r="426" spans="1:27" s="303" customFormat="1" ht="14.25">
      <c r="A426" s="384"/>
      <c r="B426" s="384"/>
      <c r="C426" s="384"/>
      <c r="D426" s="384"/>
      <c r="E426" s="384"/>
      <c r="F426" s="384"/>
      <c r="G426" s="388"/>
      <c r="H426" s="389"/>
      <c r="I426" s="388"/>
      <c r="J426" s="391"/>
      <c r="K426" s="392"/>
      <c r="L426" s="392"/>
      <c r="M426" s="392"/>
      <c r="N426" s="388"/>
      <c r="O426" s="388"/>
      <c r="P426" s="392"/>
      <c r="Q426" s="394"/>
      <c r="R426" s="392"/>
      <c r="S426" s="395"/>
      <c r="T426" s="396"/>
      <c r="U426" s="396"/>
      <c r="V426" s="396"/>
      <c r="W426" s="396"/>
      <c r="X426" s="397"/>
      <c r="Y426" s="339"/>
      <c r="Z426" s="339"/>
      <c r="AA426" s="339"/>
    </row>
    <row r="427" spans="1:27" s="303" customFormat="1" ht="14.25">
      <c r="A427" s="384"/>
      <c r="B427" s="384"/>
      <c r="C427" s="384"/>
      <c r="D427" s="384"/>
      <c r="E427" s="384"/>
      <c r="F427" s="384"/>
      <c r="G427" s="387"/>
      <c r="H427" s="549"/>
      <c r="I427" s="387"/>
      <c r="J427" s="550"/>
      <c r="K427" s="551"/>
      <c r="L427" s="551"/>
      <c r="M427" s="551"/>
      <c r="N427" s="387"/>
      <c r="O427" s="387"/>
      <c r="P427" s="551"/>
      <c r="Q427" s="394"/>
      <c r="R427" s="551"/>
      <c r="S427" s="395"/>
      <c r="T427" s="395"/>
      <c r="U427" s="395"/>
      <c r="V427" s="395"/>
      <c r="W427" s="395"/>
      <c r="X427" s="622"/>
      <c r="Y427" s="458"/>
      <c r="Z427" s="458"/>
      <c r="AA427" s="458"/>
    </row>
    <row r="428" spans="1:27" s="303" customFormat="1" ht="14.25">
      <c r="A428" s="384"/>
      <c r="B428" s="384"/>
      <c r="C428" s="384"/>
      <c r="D428" s="384"/>
      <c r="E428" s="384"/>
      <c r="F428" s="384"/>
      <c r="G428" s="388"/>
      <c r="H428" s="389"/>
      <c r="I428" s="388"/>
      <c r="J428" s="391"/>
      <c r="K428" s="392"/>
      <c r="L428" s="392"/>
      <c r="M428" s="392"/>
      <c r="N428" s="388"/>
      <c r="O428" s="388"/>
      <c r="P428" s="392"/>
      <c r="Q428" s="394"/>
      <c r="R428" s="392"/>
      <c r="S428" s="395"/>
      <c r="T428" s="396"/>
      <c r="U428" s="396"/>
      <c r="V428" s="396"/>
      <c r="W428" s="396"/>
      <c r="X428" s="397"/>
      <c r="Y428" s="339"/>
      <c r="Z428" s="339"/>
      <c r="AA428" s="339"/>
    </row>
    <row r="429" spans="1:27" s="303" customFormat="1" ht="14.25">
      <c r="A429" s="384"/>
      <c r="B429" s="384"/>
      <c r="C429" s="384"/>
      <c r="D429" s="384"/>
      <c r="E429" s="384"/>
      <c r="F429" s="384"/>
      <c r="G429" s="387"/>
      <c r="H429" s="549"/>
      <c r="I429" s="387"/>
      <c r="J429" s="550"/>
      <c r="K429" s="551"/>
      <c r="L429" s="551"/>
      <c r="M429" s="551"/>
      <c r="N429" s="387"/>
      <c r="O429" s="387"/>
      <c r="P429" s="551"/>
      <c r="Q429" s="394"/>
      <c r="R429" s="551"/>
      <c r="S429" s="395"/>
      <c r="T429" s="395"/>
      <c r="U429" s="395"/>
      <c r="V429" s="395"/>
      <c r="W429" s="395"/>
      <c r="X429" s="622"/>
      <c r="Y429" s="458"/>
      <c r="Z429" s="458"/>
      <c r="AA429" s="458"/>
    </row>
    <row r="430" spans="1:27" s="303" customFormat="1" ht="14.25">
      <c r="A430" s="384"/>
      <c r="B430" s="384"/>
      <c r="C430" s="384"/>
      <c r="D430" s="384"/>
      <c r="E430" s="384"/>
      <c r="F430" s="384"/>
      <c r="G430" s="388"/>
      <c r="H430" s="389"/>
      <c r="I430" s="388"/>
      <c r="J430" s="391"/>
      <c r="K430" s="392"/>
      <c r="L430" s="392"/>
      <c r="M430" s="392"/>
      <c r="N430" s="388"/>
      <c r="O430" s="388"/>
      <c r="P430" s="392"/>
      <c r="Q430" s="394"/>
      <c r="R430" s="392"/>
      <c r="S430" s="395"/>
      <c r="T430" s="396"/>
      <c r="U430" s="396"/>
      <c r="V430" s="396"/>
      <c r="W430" s="396"/>
      <c r="X430" s="397"/>
      <c r="Y430" s="339"/>
      <c r="Z430" s="339"/>
      <c r="AA430" s="339"/>
    </row>
    <row r="431" spans="1:27" s="303" customFormat="1" ht="14.25">
      <c r="A431" s="384"/>
      <c r="B431" s="384"/>
      <c r="C431" s="384"/>
      <c r="D431" s="384"/>
      <c r="E431" s="384"/>
      <c r="F431" s="384"/>
      <c r="G431" s="387"/>
      <c r="H431" s="549"/>
      <c r="I431" s="387"/>
      <c r="J431" s="550"/>
      <c r="K431" s="551"/>
      <c r="L431" s="551"/>
      <c r="M431" s="551"/>
      <c r="N431" s="387"/>
      <c r="O431" s="387"/>
      <c r="P431" s="551"/>
      <c r="Q431" s="394"/>
      <c r="R431" s="551"/>
      <c r="S431" s="395"/>
      <c r="T431" s="395"/>
      <c r="U431" s="395"/>
      <c r="V431" s="395"/>
      <c r="W431" s="395"/>
      <c r="X431" s="622"/>
      <c r="Y431" s="458"/>
      <c r="Z431" s="458"/>
      <c r="AA431" s="458"/>
    </row>
    <row r="432" spans="1:27" s="303" customFormat="1" ht="14.25">
      <c r="A432" s="384"/>
      <c r="B432" s="384"/>
      <c r="C432" s="384"/>
      <c r="D432" s="384"/>
      <c r="E432" s="384"/>
      <c r="F432" s="384"/>
      <c r="G432" s="388"/>
      <c r="H432" s="389"/>
      <c r="I432" s="388"/>
      <c r="J432" s="391"/>
      <c r="K432" s="392"/>
      <c r="L432" s="392"/>
      <c r="M432" s="392"/>
      <c r="N432" s="388"/>
      <c r="O432" s="388"/>
      <c r="P432" s="392"/>
      <c r="Q432" s="394"/>
      <c r="R432" s="392"/>
      <c r="S432" s="395"/>
      <c r="T432" s="396"/>
      <c r="U432" s="396"/>
      <c r="V432" s="396"/>
      <c r="W432" s="396"/>
      <c r="X432" s="397"/>
      <c r="Y432" s="339"/>
      <c r="Z432" s="339"/>
      <c r="AA432" s="339"/>
    </row>
    <row r="433" spans="1:27" s="303" customFormat="1" ht="14.25">
      <c r="A433" s="384"/>
      <c r="B433" s="384"/>
      <c r="C433" s="384"/>
      <c r="D433" s="384"/>
      <c r="E433" s="384"/>
      <c r="F433" s="384"/>
      <c r="G433" s="387"/>
      <c r="H433" s="549"/>
      <c r="I433" s="387"/>
      <c r="J433" s="550"/>
      <c r="K433" s="551"/>
      <c r="L433" s="551"/>
      <c r="M433" s="551"/>
      <c r="N433" s="387"/>
      <c r="O433" s="387"/>
      <c r="P433" s="551"/>
      <c r="Q433" s="394"/>
      <c r="R433" s="551"/>
      <c r="S433" s="395"/>
      <c r="T433" s="395"/>
      <c r="U433" s="395"/>
      <c r="V433" s="395"/>
      <c r="W433" s="395"/>
      <c r="X433" s="622"/>
      <c r="Y433" s="458"/>
      <c r="Z433" s="458"/>
      <c r="AA433" s="458"/>
    </row>
    <row r="434" spans="1:27" s="303" customFormat="1" ht="14.25">
      <c r="A434" s="384"/>
      <c r="B434" s="384"/>
      <c r="C434" s="384"/>
      <c r="D434" s="384"/>
      <c r="E434" s="384"/>
      <c r="F434" s="384"/>
      <c r="G434" s="388"/>
      <c r="H434" s="389"/>
      <c r="I434" s="388"/>
      <c r="J434" s="391"/>
      <c r="K434" s="392"/>
      <c r="L434" s="392"/>
      <c r="M434" s="392"/>
      <c r="N434" s="388"/>
      <c r="O434" s="388"/>
      <c r="P434" s="392"/>
      <c r="Q434" s="394"/>
      <c r="R434" s="392"/>
      <c r="S434" s="395"/>
      <c r="T434" s="396"/>
      <c r="U434" s="396"/>
      <c r="V434" s="396"/>
      <c r="W434" s="396"/>
      <c r="X434" s="397"/>
      <c r="Y434" s="339"/>
      <c r="Z434" s="339"/>
      <c r="AA434" s="339"/>
    </row>
    <row r="435" spans="1:27" s="303" customFormat="1" ht="14.25">
      <c r="A435" s="384"/>
      <c r="B435" s="384"/>
      <c r="C435" s="384"/>
      <c r="D435" s="384"/>
      <c r="E435" s="384"/>
      <c r="F435" s="384"/>
      <c r="G435" s="387"/>
      <c r="H435" s="549"/>
      <c r="I435" s="387"/>
      <c r="J435" s="550"/>
      <c r="K435" s="551"/>
      <c r="L435" s="551"/>
      <c r="M435" s="551"/>
      <c r="N435" s="387"/>
      <c r="O435" s="387"/>
      <c r="P435" s="551"/>
      <c r="Q435" s="394"/>
      <c r="R435" s="551"/>
      <c r="S435" s="395"/>
      <c r="T435" s="395"/>
      <c r="U435" s="395"/>
      <c r="V435" s="395"/>
      <c r="W435" s="395"/>
      <c r="X435" s="622"/>
      <c r="Y435" s="458"/>
      <c r="Z435" s="458"/>
      <c r="AA435" s="458"/>
    </row>
    <row r="436" spans="1:27" s="303" customFormat="1" ht="14.25">
      <c r="A436" s="384"/>
      <c r="B436" s="384"/>
      <c r="C436" s="384"/>
      <c r="D436" s="384"/>
      <c r="E436" s="384"/>
      <c r="F436" s="384"/>
      <c r="G436" s="388"/>
      <c r="H436" s="389"/>
      <c r="I436" s="388"/>
      <c r="J436" s="391"/>
      <c r="K436" s="392"/>
      <c r="L436" s="392"/>
      <c r="M436" s="392"/>
      <c r="N436" s="388"/>
      <c r="O436" s="388"/>
      <c r="P436" s="392"/>
      <c r="Q436" s="394"/>
      <c r="R436" s="392"/>
      <c r="S436" s="395"/>
      <c r="T436" s="396"/>
      <c r="U436" s="396"/>
      <c r="V436" s="396"/>
      <c r="W436" s="396"/>
      <c r="X436" s="397"/>
      <c r="Y436" s="339"/>
      <c r="Z436" s="339"/>
      <c r="AA436" s="339"/>
    </row>
    <row r="437" spans="1:27" s="303" customFormat="1" ht="14.25">
      <c r="A437" s="384"/>
      <c r="B437" s="384"/>
      <c r="C437" s="384"/>
      <c r="D437" s="384"/>
      <c r="E437" s="384"/>
      <c r="F437" s="384"/>
      <c r="G437" s="387"/>
      <c r="H437" s="549"/>
      <c r="I437" s="387"/>
      <c r="J437" s="550"/>
      <c r="K437" s="551"/>
      <c r="L437" s="551"/>
      <c r="M437" s="551"/>
      <c r="N437" s="387"/>
      <c r="O437" s="387"/>
      <c r="P437" s="551"/>
      <c r="Q437" s="394"/>
      <c r="R437" s="551"/>
      <c r="S437" s="395"/>
      <c r="T437" s="395"/>
      <c r="U437" s="395"/>
      <c r="V437" s="395"/>
      <c r="W437" s="395"/>
      <c r="X437" s="622"/>
      <c r="Y437" s="458"/>
      <c r="Z437" s="458"/>
      <c r="AA437" s="458"/>
    </row>
    <row r="438" spans="1:27" s="303" customFormat="1" ht="14.25">
      <c r="A438" s="384"/>
      <c r="B438" s="384"/>
      <c r="C438" s="384"/>
      <c r="D438" s="384"/>
      <c r="E438" s="384"/>
      <c r="F438" s="384"/>
      <c r="G438" s="388"/>
      <c r="H438" s="389"/>
      <c r="I438" s="388"/>
      <c r="J438" s="391"/>
      <c r="K438" s="392"/>
      <c r="L438" s="392"/>
      <c r="M438" s="392"/>
      <c r="N438" s="388"/>
      <c r="O438" s="388"/>
      <c r="P438" s="392"/>
      <c r="Q438" s="394"/>
      <c r="R438" s="392"/>
      <c r="S438" s="395"/>
      <c r="T438" s="396"/>
      <c r="U438" s="396"/>
      <c r="V438" s="396"/>
      <c r="W438" s="396"/>
      <c r="X438" s="397"/>
      <c r="Y438" s="339"/>
      <c r="Z438" s="339"/>
      <c r="AA438" s="339"/>
    </row>
    <row r="439" spans="1:27" s="303" customFormat="1" ht="14.25">
      <c r="A439" s="384"/>
      <c r="B439" s="384"/>
      <c r="C439" s="384"/>
      <c r="D439" s="384"/>
      <c r="E439" s="384"/>
      <c r="F439" s="384"/>
      <c r="G439" s="387"/>
      <c r="H439" s="549"/>
      <c r="I439" s="387"/>
      <c r="J439" s="550"/>
      <c r="K439" s="551"/>
      <c r="L439" s="551"/>
      <c r="M439" s="551"/>
      <c r="N439" s="387"/>
      <c r="O439" s="387"/>
      <c r="P439" s="551"/>
      <c r="Q439" s="394"/>
      <c r="R439" s="551"/>
      <c r="S439" s="395"/>
      <c r="T439" s="395"/>
      <c r="U439" s="395"/>
      <c r="V439" s="395"/>
      <c r="W439" s="395"/>
      <c r="X439" s="622"/>
      <c r="Y439" s="458"/>
      <c r="Z439" s="458"/>
      <c r="AA439" s="458"/>
    </row>
    <row r="440" spans="1:27" s="303" customFormat="1" ht="14.25">
      <c r="A440" s="384"/>
      <c r="B440" s="384"/>
      <c r="C440" s="384"/>
      <c r="D440" s="384"/>
      <c r="E440" s="384"/>
      <c r="F440" s="384"/>
      <c r="G440" s="388"/>
      <c r="H440" s="389"/>
      <c r="I440" s="388"/>
      <c r="J440" s="391"/>
      <c r="K440" s="392"/>
      <c r="L440" s="392"/>
      <c r="M440" s="392"/>
      <c r="N440" s="388"/>
      <c r="O440" s="388"/>
      <c r="P440" s="392"/>
      <c r="Q440" s="394"/>
      <c r="R440" s="392"/>
      <c r="S440" s="395"/>
      <c r="T440" s="396"/>
      <c r="U440" s="396"/>
      <c r="V440" s="396"/>
      <c r="W440" s="396"/>
      <c r="X440" s="397"/>
      <c r="Y440" s="339"/>
      <c r="Z440" s="339"/>
      <c r="AA440" s="339"/>
    </row>
    <row r="441" spans="1:27" s="303" customFormat="1" ht="14.25">
      <c r="A441" s="384"/>
      <c r="B441" s="384"/>
      <c r="C441" s="384"/>
      <c r="D441" s="384"/>
      <c r="E441" s="384"/>
      <c r="F441" s="384"/>
      <c r="G441" s="387"/>
      <c r="H441" s="549"/>
      <c r="I441" s="387"/>
      <c r="J441" s="550"/>
      <c r="K441" s="551"/>
      <c r="L441" s="551"/>
      <c r="M441" s="551"/>
      <c r="N441" s="387"/>
      <c r="O441" s="387"/>
      <c r="P441" s="551"/>
      <c r="Q441" s="394"/>
      <c r="R441" s="551"/>
      <c r="S441" s="395"/>
      <c r="T441" s="395"/>
      <c r="U441" s="395"/>
      <c r="V441" s="395"/>
      <c r="W441" s="395"/>
      <c r="X441" s="622"/>
      <c r="Y441" s="458"/>
      <c r="Z441" s="458"/>
      <c r="AA441" s="458"/>
    </row>
    <row r="442" spans="1:27" s="303" customFormat="1" ht="14.25">
      <c r="A442" s="384"/>
      <c r="B442" s="384"/>
      <c r="C442" s="384"/>
      <c r="D442" s="384"/>
      <c r="E442" s="384"/>
      <c r="F442" s="384"/>
      <c r="G442" s="388"/>
      <c r="H442" s="389"/>
      <c r="I442" s="388"/>
      <c r="J442" s="391"/>
      <c r="K442" s="392"/>
      <c r="L442" s="392"/>
      <c r="M442" s="392"/>
      <c r="N442" s="388"/>
      <c r="O442" s="388"/>
      <c r="P442" s="392"/>
      <c r="Q442" s="394"/>
      <c r="R442" s="392"/>
      <c r="S442" s="395"/>
      <c r="T442" s="396"/>
      <c r="U442" s="396"/>
      <c r="V442" s="396"/>
      <c r="W442" s="396"/>
      <c r="X442" s="397"/>
      <c r="Y442" s="339"/>
      <c r="Z442" s="339"/>
      <c r="AA442" s="339"/>
    </row>
    <row r="443" spans="1:27" s="303" customFormat="1" ht="14.25">
      <c r="A443" s="384"/>
      <c r="B443" s="384"/>
      <c r="C443" s="384"/>
      <c r="D443" s="384"/>
      <c r="E443" s="384"/>
      <c r="F443" s="384"/>
      <c r="G443" s="387"/>
      <c r="H443" s="549"/>
      <c r="I443" s="387"/>
      <c r="J443" s="550"/>
      <c r="K443" s="551"/>
      <c r="L443" s="551"/>
      <c r="M443" s="551"/>
      <c r="N443" s="387"/>
      <c r="O443" s="387"/>
      <c r="P443" s="551"/>
      <c r="Q443" s="394"/>
      <c r="R443" s="551"/>
      <c r="S443" s="395"/>
      <c r="T443" s="395"/>
      <c r="U443" s="395"/>
      <c r="V443" s="395"/>
      <c r="W443" s="395"/>
      <c r="X443" s="622"/>
      <c r="Y443" s="458"/>
      <c r="Z443" s="458"/>
      <c r="AA443" s="458"/>
    </row>
    <row r="444" spans="1:27" s="303" customFormat="1" ht="14.25">
      <c r="A444" s="384"/>
      <c r="B444" s="384"/>
      <c r="C444" s="384"/>
      <c r="D444" s="384"/>
      <c r="E444" s="384"/>
      <c r="F444" s="384"/>
      <c r="G444" s="388"/>
      <c r="H444" s="389"/>
      <c r="I444" s="388"/>
      <c r="J444" s="391"/>
      <c r="K444" s="392"/>
      <c r="L444" s="392"/>
      <c r="M444" s="392"/>
      <c r="N444" s="388"/>
      <c r="O444" s="388"/>
      <c r="P444" s="392"/>
      <c r="Q444" s="394"/>
      <c r="R444" s="392"/>
      <c r="S444" s="395"/>
      <c r="T444" s="396"/>
      <c r="U444" s="396"/>
      <c r="V444" s="396"/>
      <c r="W444" s="396"/>
      <c r="X444" s="397"/>
      <c r="Y444" s="339"/>
      <c r="Z444" s="339"/>
      <c r="AA444" s="339"/>
    </row>
    <row r="445" spans="1:27" s="303" customFormat="1" ht="14.25">
      <c r="A445" s="384"/>
      <c r="B445" s="384"/>
      <c r="C445" s="384"/>
      <c r="D445" s="384"/>
      <c r="E445" s="384"/>
      <c r="F445" s="384"/>
      <c r="G445" s="387"/>
      <c r="H445" s="549"/>
      <c r="I445" s="387"/>
      <c r="J445" s="550"/>
      <c r="K445" s="551"/>
      <c r="L445" s="551"/>
      <c r="M445" s="551"/>
      <c r="N445" s="387"/>
      <c r="O445" s="387"/>
      <c r="P445" s="551"/>
      <c r="Q445" s="394"/>
      <c r="R445" s="551"/>
      <c r="S445" s="395"/>
      <c r="T445" s="395"/>
      <c r="U445" s="395"/>
      <c r="V445" s="395"/>
      <c r="W445" s="395"/>
      <c r="X445" s="622"/>
      <c r="Y445" s="458"/>
      <c r="Z445" s="458"/>
      <c r="AA445" s="458"/>
    </row>
    <row r="446" spans="1:27" s="303" customFormat="1" ht="14.25">
      <c r="A446" s="384"/>
      <c r="B446" s="384"/>
      <c r="C446" s="384"/>
      <c r="D446" s="384"/>
      <c r="E446" s="384"/>
      <c r="F446" s="384"/>
      <c r="G446" s="388"/>
      <c r="H446" s="389"/>
      <c r="I446" s="388"/>
      <c r="J446" s="391"/>
      <c r="K446" s="392"/>
      <c r="L446" s="392"/>
      <c r="M446" s="392"/>
      <c r="N446" s="388"/>
      <c r="O446" s="388"/>
      <c r="P446" s="392"/>
      <c r="Q446" s="394"/>
      <c r="R446" s="392"/>
      <c r="S446" s="395"/>
      <c r="T446" s="396"/>
      <c r="U446" s="396"/>
      <c r="V446" s="396"/>
      <c r="W446" s="396"/>
      <c r="X446" s="397"/>
      <c r="Y446" s="339"/>
      <c r="Z446" s="339"/>
      <c r="AA446" s="339"/>
    </row>
    <row r="447" spans="1:27" s="303" customFormat="1" ht="14.25">
      <c r="A447" s="384"/>
      <c r="B447" s="384"/>
      <c r="C447" s="384"/>
      <c r="D447" s="384"/>
      <c r="E447" s="384"/>
      <c r="F447" s="384"/>
      <c r="G447" s="387"/>
      <c r="H447" s="549"/>
      <c r="I447" s="387"/>
      <c r="J447" s="550"/>
      <c r="K447" s="551"/>
      <c r="L447" s="551"/>
      <c r="M447" s="551"/>
      <c r="N447" s="387"/>
      <c r="O447" s="387"/>
      <c r="P447" s="551"/>
      <c r="Q447" s="394"/>
      <c r="R447" s="551"/>
      <c r="S447" s="395"/>
      <c r="T447" s="395"/>
      <c r="U447" s="395"/>
      <c r="V447" s="395"/>
      <c r="W447" s="395"/>
      <c r="X447" s="622"/>
      <c r="Y447" s="458"/>
      <c r="Z447" s="458"/>
      <c r="AA447" s="458"/>
    </row>
    <row r="448" spans="1:27" s="303" customFormat="1" ht="14.25">
      <c r="A448" s="384"/>
      <c r="B448" s="384"/>
      <c r="C448" s="384"/>
      <c r="D448" s="384"/>
      <c r="E448" s="384"/>
      <c r="F448" s="384"/>
      <c r="G448" s="388"/>
      <c r="H448" s="389"/>
      <c r="I448" s="388"/>
      <c r="J448" s="391"/>
      <c r="K448" s="392"/>
      <c r="L448" s="392"/>
      <c r="M448" s="392"/>
      <c r="N448" s="388"/>
      <c r="O448" s="388"/>
      <c r="P448" s="392"/>
      <c r="Q448" s="394"/>
      <c r="R448" s="392"/>
      <c r="S448" s="395"/>
      <c r="T448" s="396"/>
      <c r="U448" s="396"/>
      <c r="V448" s="396"/>
      <c r="W448" s="396"/>
      <c r="X448" s="397"/>
      <c r="Y448" s="339"/>
      <c r="Z448" s="339"/>
      <c r="AA448" s="339"/>
    </row>
    <row r="449" spans="1:27" s="303" customFormat="1" ht="14.25">
      <c r="A449" s="384"/>
      <c r="B449" s="384"/>
      <c r="C449" s="384"/>
      <c r="D449" s="384"/>
      <c r="E449" s="384"/>
      <c r="F449" s="384"/>
      <c r="G449" s="387"/>
      <c r="H449" s="549"/>
      <c r="I449" s="387"/>
      <c r="J449" s="550"/>
      <c r="K449" s="551"/>
      <c r="L449" s="551"/>
      <c r="M449" s="551"/>
      <c r="N449" s="387"/>
      <c r="O449" s="387"/>
      <c r="P449" s="551"/>
      <c r="Q449" s="394"/>
      <c r="R449" s="551"/>
      <c r="S449" s="395"/>
      <c r="T449" s="395"/>
      <c r="U449" s="395"/>
      <c r="V449" s="395"/>
      <c r="W449" s="395"/>
      <c r="X449" s="622"/>
      <c r="Y449" s="458"/>
      <c r="Z449" s="458"/>
      <c r="AA449" s="458"/>
    </row>
    <row r="450" spans="1:27" s="303" customFormat="1" ht="14.25">
      <c r="A450" s="384"/>
      <c r="B450" s="384"/>
      <c r="C450" s="384"/>
      <c r="D450" s="384"/>
      <c r="E450" s="384"/>
      <c r="F450" s="384"/>
      <c r="G450" s="388"/>
      <c r="H450" s="389"/>
      <c r="I450" s="388"/>
      <c r="J450" s="391"/>
      <c r="K450" s="392"/>
      <c r="L450" s="392"/>
      <c r="M450" s="392"/>
      <c r="N450" s="388"/>
      <c r="O450" s="388"/>
      <c r="P450" s="392"/>
      <c r="Q450" s="394"/>
      <c r="R450" s="392"/>
      <c r="S450" s="395"/>
      <c r="T450" s="396"/>
      <c r="U450" s="396"/>
      <c r="V450" s="396"/>
      <c r="W450" s="396"/>
      <c r="X450" s="397"/>
      <c r="Y450" s="339"/>
      <c r="Z450" s="339"/>
      <c r="AA450" s="339"/>
    </row>
    <row r="451" spans="1:27" s="303" customFormat="1" ht="14.25">
      <c r="A451" s="384"/>
      <c r="B451" s="384"/>
      <c r="C451" s="384"/>
      <c r="D451" s="384"/>
      <c r="E451" s="384"/>
      <c r="F451" s="384"/>
      <c r="G451" s="387"/>
      <c r="H451" s="549"/>
      <c r="I451" s="387"/>
      <c r="J451" s="550"/>
      <c r="K451" s="551"/>
      <c r="L451" s="551"/>
      <c r="M451" s="551"/>
      <c r="N451" s="387"/>
      <c r="O451" s="387"/>
      <c r="P451" s="551"/>
      <c r="Q451" s="394"/>
      <c r="R451" s="551"/>
      <c r="S451" s="395"/>
      <c r="T451" s="395"/>
      <c r="U451" s="395"/>
      <c r="V451" s="395"/>
      <c r="W451" s="395"/>
      <c r="X451" s="622"/>
      <c r="Y451" s="458"/>
      <c r="Z451" s="458"/>
      <c r="AA451" s="458"/>
    </row>
    <row r="452" spans="1:27" s="303" customFormat="1" ht="14.25">
      <c r="A452" s="384"/>
      <c r="B452" s="384"/>
      <c r="C452" s="384"/>
      <c r="D452" s="384"/>
      <c r="E452" s="384"/>
      <c r="F452" s="384"/>
      <c r="G452" s="388"/>
      <c r="H452" s="389"/>
      <c r="I452" s="388"/>
      <c r="J452" s="391"/>
      <c r="K452" s="392"/>
      <c r="L452" s="392"/>
      <c r="M452" s="392"/>
      <c r="N452" s="388"/>
      <c r="O452" s="388"/>
      <c r="P452" s="392"/>
      <c r="Q452" s="394"/>
      <c r="R452" s="392"/>
      <c r="S452" s="395"/>
      <c r="T452" s="396"/>
      <c r="U452" s="396"/>
      <c r="V452" s="396"/>
      <c r="W452" s="396"/>
      <c r="X452" s="397"/>
      <c r="Y452" s="339"/>
      <c r="Z452" s="339"/>
      <c r="AA452" s="339"/>
    </row>
    <row r="453" spans="1:27" s="303" customFormat="1" ht="14.25">
      <c r="A453" s="384"/>
      <c r="B453" s="384"/>
      <c r="C453" s="384"/>
      <c r="D453" s="384"/>
      <c r="E453" s="384"/>
      <c r="F453" s="384"/>
      <c r="G453" s="387"/>
      <c r="H453" s="549"/>
      <c r="I453" s="387"/>
      <c r="J453" s="550"/>
      <c r="K453" s="551"/>
      <c r="L453" s="551"/>
      <c r="M453" s="551"/>
      <c r="N453" s="387"/>
      <c r="O453" s="387"/>
      <c r="P453" s="551"/>
      <c r="Q453" s="394"/>
      <c r="R453" s="551"/>
      <c r="S453" s="395"/>
      <c r="T453" s="395"/>
      <c r="U453" s="395"/>
      <c r="V453" s="395"/>
      <c r="W453" s="395"/>
      <c r="X453" s="622"/>
      <c r="Y453" s="458"/>
      <c r="Z453" s="458"/>
      <c r="AA453" s="458"/>
    </row>
    <row r="454" spans="1:27" s="303" customFormat="1" ht="14.25">
      <c r="A454" s="384"/>
      <c r="B454" s="384"/>
      <c r="C454" s="384"/>
      <c r="D454" s="384"/>
      <c r="E454" s="384"/>
      <c r="F454" s="384"/>
      <c r="G454" s="388"/>
      <c r="H454" s="389"/>
      <c r="I454" s="388"/>
      <c r="J454" s="391"/>
      <c r="K454" s="392"/>
      <c r="L454" s="392"/>
      <c r="M454" s="392"/>
      <c r="N454" s="388"/>
      <c r="O454" s="388"/>
      <c r="P454" s="392"/>
      <c r="Q454" s="394"/>
      <c r="R454" s="392"/>
      <c r="S454" s="395"/>
      <c r="T454" s="396"/>
      <c r="U454" s="396"/>
      <c r="V454" s="396"/>
      <c r="W454" s="396"/>
      <c r="X454" s="397"/>
      <c r="Y454" s="339"/>
      <c r="Z454" s="339"/>
      <c r="AA454" s="339"/>
    </row>
    <row r="455" spans="1:27" s="303" customFormat="1" ht="14.25">
      <c r="A455" s="384"/>
      <c r="B455" s="384"/>
      <c r="C455" s="384"/>
      <c r="D455" s="384"/>
      <c r="E455" s="384"/>
      <c r="F455" s="384"/>
      <c r="G455" s="387"/>
      <c r="H455" s="549"/>
      <c r="I455" s="387"/>
      <c r="J455" s="550"/>
      <c r="K455" s="551"/>
      <c r="L455" s="551"/>
      <c r="M455" s="551"/>
      <c r="N455" s="387"/>
      <c r="O455" s="387"/>
      <c r="P455" s="551"/>
      <c r="Q455" s="394"/>
      <c r="R455" s="551"/>
      <c r="S455" s="395"/>
      <c r="T455" s="395"/>
      <c r="U455" s="395"/>
      <c r="V455" s="395"/>
      <c r="W455" s="395"/>
      <c r="X455" s="622"/>
      <c r="Y455" s="458"/>
      <c r="Z455" s="458"/>
      <c r="AA455" s="458"/>
    </row>
    <row r="456" spans="1:27" s="303" customFormat="1" ht="14.25">
      <c r="A456" s="384"/>
      <c r="B456" s="384"/>
      <c r="C456" s="384"/>
      <c r="D456" s="384"/>
      <c r="E456" s="384"/>
      <c r="F456" s="384"/>
      <c r="G456" s="388"/>
      <c r="H456" s="389"/>
      <c r="I456" s="388"/>
      <c r="J456" s="391"/>
      <c r="K456" s="392"/>
      <c r="L456" s="392"/>
      <c r="M456" s="392"/>
      <c r="N456" s="388"/>
      <c r="O456" s="388"/>
      <c r="P456" s="392"/>
      <c r="Q456" s="394"/>
      <c r="R456" s="392"/>
      <c r="S456" s="395"/>
      <c r="T456" s="396"/>
      <c r="U456" s="396"/>
      <c r="V456" s="396"/>
      <c r="W456" s="396"/>
      <c r="X456" s="397"/>
      <c r="Y456" s="339"/>
      <c r="Z456" s="339"/>
      <c r="AA456" s="339"/>
    </row>
    <row r="457" spans="1:27" s="303" customFormat="1" ht="14.25">
      <c r="A457" s="384"/>
      <c r="B457" s="384"/>
      <c r="C457" s="384"/>
      <c r="D457" s="384"/>
      <c r="E457" s="384"/>
      <c r="F457" s="384"/>
      <c r="G457" s="387"/>
      <c r="H457" s="549"/>
      <c r="I457" s="387"/>
      <c r="J457" s="550"/>
      <c r="K457" s="551"/>
      <c r="L457" s="551"/>
      <c r="M457" s="551"/>
      <c r="N457" s="387"/>
      <c r="O457" s="387"/>
      <c r="P457" s="551"/>
      <c r="Q457" s="394"/>
      <c r="R457" s="551"/>
      <c r="S457" s="395"/>
      <c r="T457" s="395"/>
      <c r="U457" s="395"/>
      <c r="V457" s="395"/>
      <c r="W457" s="395"/>
      <c r="X457" s="622"/>
      <c r="Y457" s="458"/>
      <c r="Z457" s="458"/>
      <c r="AA457" s="458"/>
    </row>
    <row r="458" spans="1:27" s="303" customFormat="1" ht="14.25">
      <c r="A458" s="384"/>
      <c r="B458" s="384"/>
      <c r="C458" s="384"/>
      <c r="D458" s="384"/>
      <c r="E458" s="384"/>
      <c r="F458" s="384"/>
      <c r="G458" s="388"/>
      <c r="H458" s="389"/>
      <c r="I458" s="388"/>
      <c r="J458" s="391"/>
      <c r="K458" s="392"/>
      <c r="L458" s="392"/>
      <c r="M458" s="392"/>
      <c r="N458" s="388"/>
      <c r="O458" s="388"/>
      <c r="P458" s="392"/>
      <c r="Q458" s="394"/>
      <c r="R458" s="392"/>
      <c r="S458" s="395"/>
      <c r="T458" s="396"/>
      <c r="U458" s="396"/>
      <c r="V458" s="396"/>
      <c r="W458" s="396"/>
      <c r="X458" s="397"/>
      <c r="Y458" s="339"/>
      <c r="Z458" s="339"/>
      <c r="AA458" s="339"/>
    </row>
    <row r="459" spans="1:27" s="303" customFormat="1" ht="14.25">
      <c r="A459" s="384"/>
      <c r="B459" s="384"/>
      <c r="C459" s="384"/>
      <c r="D459" s="384"/>
      <c r="E459" s="384"/>
      <c r="F459" s="384"/>
      <c r="G459" s="387"/>
      <c r="H459" s="549"/>
      <c r="I459" s="387"/>
      <c r="J459" s="550"/>
      <c r="K459" s="551"/>
      <c r="L459" s="551"/>
      <c r="M459" s="551"/>
      <c r="N459" s="387"/>
      <c r="O459" s="387"/>
      <c r="P459" s="551"/>
      <c r="Q459" s="394"/>
      <c r="R459" s="551"/>
      <c r="S459" s="395"/>
      <c r="T459" s="395"/>
      <c r="U459" s="395"/>
      <c r="V459" s="395"/>
      <c r="W459" s="395"/>
      <c r="X459" s="622"/>
      <c r="Y459" s="458"/>
      <c r="Z459" s="458"/>
      <c r="AA459" s="458"/>
    </row>
    <row r="460" spans="1:27" s="303" customFormat="1" ht="14.25">
      <c r="A460" s="384"/>
      <c r="B460" s="384"/>
      <c r="C460" s="384"/>
      <c r="D460" s="384"/>
      <c r="E460" s="384"/>
      <c r="F460" s="384"/>
      <c r="G460" s="388"/>
      <c r="H460" s="389"/>
      <c r="I460" s="388"/>
      <c r="J460" s="391"/>
      <c r="K460" s="392"/>
      <c r="L460" s="392"/>
      <c r="M460" s="392"/>
      <c r="N460" s="388"/>
      <c r="O460" s="388"/>
      <c r="P460" s="392"/>
      <c r="Q460" s="394"/>
      <c r="R460" s="392"/>
      <c r="S460" s="395"/>
      <c r="T460" s="396"/>
      <c r="U460" s="396"/>
      <c r="V460" s="396"/>
      <c r="W460" s="396"/>
      <c r="X460" s="397"/>
      <c r="Y460" s="339"/>
      <c r="Z460" s="339"/>
      <c r="AA460" s="339"/>
    </row>
    <row r="461" spans="1:27" s="303" customFormat="1" ht="14.25">
      <c r="A461" s="384"/>
      <c r="B461" s="384"/>
      <c r="C461" s="384"/>
      <c r="D461" s="384"/>
      <c r="E461" s="384"/>
      <c r="F461" s="384"/>
      <c r="G461" s="387"/>
      <c r="H461" s="549"/>
      <c r="I461" s="387"/>
      <c r="J461" s="550"/>
      <c r="K461" s="551"/>
      <c r="L461" s="551"/>
      <c r="M461" s="551"/>
      <c r="N461" s="387"/>
      <c r="O461" s="387"/>
      <c r="P461" s="551"/>
      <c r="Q461" s="394"/>
      <c r="R461" s="551"/>
      <c r="S461" s="395"/>
      <c r="T461" s="395"/>
      <c r="U461" s="395"/>
      <c r="V461" s="395"/>
      <c r="W461" s="395"/>
      <c r="X461" s="622"/>
      <c r="Y461" s="458"/>
      <c r="Z461" s="458"/>
      <c r="AA461" s="458"/>
    </row>
    <row r="462" spans="1:27" s="303" customFormat="1" ht="14.25">
      <c r="A462" s="384"/>
      <c r="B462" s="384"/>
      <c r="C462" s="384"/>
      <c r="D462" s="384"/>
      <c r="E462" s="384"/>
      <c r="F462" s="384"/>
      <c r="G462" s="388"/>
      <c r="H462" s="389"/>
      <c r="I462" s="388"/>
      <c r="J462" s="391"/>
      <c r="K462" s="392"/>
      <c r="L462" s="392"/>
      <c r="M462" s="392"/>
      <c r="N462" s="388"/>
      <c r="O462" s="388"/>
      <c r="P462" s="392"/>
      <c r="Q462" s="394"/>
      <c r="R462" s="392"/>
      <c r="S462" s="395"/>
      <c r="T462" s="396"/>
      <c r="U462" s="396"/>
      <c r="V462" s="396"/>
      <c r="W462" s="396"/>
      <c r="X462" s="397"/>
      <c r="Y462" s="339"/>
      <c r="Z462" s="339"/>
      <c r="AA462" s="339"/>
    </row>
    <row r="463" spans="1:27" s="303" customFormat="1" ht="14.25">
      <c r="A463" s="384"/>
      <c r="B463" s="384"/>
      <c r="C463" s="384"/>
      <c r="D463" s="384"/>
      <c r="E463" s="384"/>
      <c r="F463" s="384"/>
      <c r="G463" s="387"/>
      <c r="H463" s="549"/>
      <c r="I463" s="387"/>
      <c r="J463" s="550"/>
      <c r="K463" s="551"/>
      <c r="L463" s="551"/>
      <c r="M463" s="551"/>
      <c r="N463" s="387"/>
      <c r="O463" s="387"/>
      <c r="P463" s="551"/>
      <c r="Q463" s="394"/>
      <c r="R463" s="551"/>
      <c r="S463" s="395"/>
      <c r="T463" s="395"/>
      <c r="U463" s="395"/>
      <c r="V463" s="395"/>
      <c r="W463" s="395"/>
      <c r="X463" s="622"/>
      <c r="Y463" s="458"/>
      <c r="Z463" s="458"/>
      <c r="AA463" s="458"/>
    </row>
    <row r="464" spans="1:27" s="303" customFormat="1" ht="14.25">
      <c r="A464" s="384"/>
      <c r="B464" s="384"/>
      <c r="C464" s="384"/>
      <c r="D464" s="384"/>
      <c r="E464" s="384"/>
      <c r="F464" s="384"/>
      <c r="G464" s="388"/>
      <c r="H464" s="389"/>
      <c r="I464" s="388"/>
      <c r="J464" s="391"/>
      <c r="K464" s="392"/>
      <c r="L464" s="392"/>
      <c r="M464" s="392"/>
      <c r="N464" s="388"/>
      <c r="O464" s="388"/>
      <c r="P464" s="392"/>
      <c r="Q464" s="394"/>
      <c r="R464" s="392"/>
      <c r="S464" s="395"/>
      <c r="T464" s="396"/>
      <c r="U464" s="396"/>
      <c r="V464" s="396"/>
      <c r="W464" s="396"/>
      <c r="X464" s="397"/>
      <c r="Y464" s="339"/>
      <c r="Z464" s="339"/>
      <c r="AA464" s="339"/>
    </row>
    <row r="465" spans="1:27" s="303" customFormat="1" ht="14.25">
      <c r="A465" s="384"/>
      <c r="B465" s="384"/>
      <c r="C465" s="384"/>
      <c r="D465" s="384"/>
      <c r="E465" s="384"/>
      <c r="F465" s="384"/>
      <c r="G465" s="387"/>
      <c r="H465" s="549"/>
      <c r="I465" s="387"/>
      <c r="J465" s="550"/>
      <c r="K465" s="551"/>
      <c r="L465" s="551"/>
      <c r="M465" s="551"/>
      <c r="N465" s="387"/>
      <c r="O465" s="387"/>
      <c r="P465" s="551"/>
      <c r="Q465" s="394"/>
      <c r="R465" s="551"/>
      <c r="S465" s="395"/>
      <c r="T465" s="395"/>
      <c r="U465" s="395"/>
      <c r="V465" s="395"/>
      <c r="W465" s="395"/>
      <c r="X465" s="622"/>
      <c r="Y465" s="458"/>
      <c r="Z465" s="458"/>
      <c r="AA465" s="458"/>
    </row>
    <row r="466" spans="1:27" s="303" customFormat="1" ht="14.25">
      <c r="A466" s="384"/>
      <c r="B466" s="384"/>
      <c r="C466" s="384"/>
      <c r="D466" s="384"/>
      <c r="E466" s="384"/>
      <c r="F466" s="384"/>
      <c r="G466" s="388"/>
      <c r="H466" s="389"/>
      <c r="I466" s="388"/>
      <c r="J466" s="391"/>
      <c r="K466" s="392"/>
      <c r="L466" s="392"/>
      <c r="M466" s="392"/>
      <c r="N466" s="388"/>
      <c r="O466" s="388"/>
      <c r="P466" s="392"/>
      <c r="Q466" s="394"/>
      <c r="R466" s="392"/>
      <c r="S466" s="395"/>
      <c r="T466" s="396"/>
      <c r="U466" s="396"/>
      <c r="V466" s="396"/>
      <c r="W466" s="396"/>
      <c r="X466" s="397"/>
      <c r="Y466" s="339"/>
      <c r="Z466" s="339"/>
      <c r="AA466" s="339"/>
    </row>
    <row r="467" spans="1:27" s="303" customFormat="1" ht="14.25">
      <c r="A467" s="384"/>
      <c r="B467" s="384"/>
      <c r="C467" s="384"/>
      <c r="D467" s="384"/>
      <c r="E467" s="384"/>
      <c r="F467" s="384"/>
      <c r="G467" s="387"/>
      <c r="H467" s="549"/>
      <c r="I467" s="387"/>
      <c r="J467" s="550"/>
      <c r="K467" s="551"/>
      <c r="L467" s="551"/>
      <c r="M467" s="551"/>
      <c r="N467" s="387"/>
      <c r="O467" s="387"/>
      <c r="P467" s="551"/>
      <c r="Q467" s="394"/>
      <c r="R467" s="551"/>
      <c r="S467" s="395"/>
      <c r="T467" s="395"/>
      <c r="U467" s="395"/>
      <c r="V467" s="395"/>
      <c r="W467" s="395"/>
      <c r="X467" s="622"/>
      <c r="Y467" s="458"/>
      <c r="Z467" s="458"/>
      <c r="AA467" s="458"/>
    </row>
    <row r="468" spans="1:27" s="303" customFormat="1" ht="14.25">
      <c r="A468" s="384"/>
      <c r="B468" s="384"/>
      <c r="C468" s="384"/>
      <c r="D468" s="384"/>
      <c r="E468" s="384"/>
      <c r="F468" s="384"/>
      <c r="G468" s="388"/>
      <c r="H468" s="389"/>
      <c r="I468" s="388"/>
      <c r="J468" s="391"/>
      <c r="K468" s="392"/>
      <c r="L468" s="392"/>
      <c r="M468" s="392"/>
      <c r="N468" s="388"/>
      <c r="O468" s="388"/>
      <c r="P468" s="392"/>
      <c r="Q468" s="394"/>
      <c r="R468" s="392"/>
      <c r="S468" s="395"/>
      <c r="T468" s="396"/>
      <c r="U468" s="396"/>
      <c r="V468" s="396"/>
      <c r="W468" s="396"/>
      <c r="X468" s="397"/>
      <c r="Y468" s="339"/>
      <c r="Z468" s="339"/>
      <c r="AA468" s="339"/>
    </row>
    <row r="469" spans="1:27" s="303" customFormat="1" ht="14.25">
      <c r="A469" s="384"/>
      <c r="B469" s="384"/>
      <c r="C469" s="384"/>
      <c r="D469" s="384"/>
      <c r="E469" s="384"/>
      <c r="F469" s="384"/>
      <c r="G469" s="387"/>
      <c r="H469" s="549"/>
      <c r="I469" s="387"/>
      <c r="J469" s="550"/>
      <c r="K469" s="551"/>
      <c r="L469" s="551"/>
      <c r="M469" s="551"/>
      <c r="N469" s="387"/>
      <c r="O469" s="387"/>
      <c r="P469" s="551"/>
      <c r="Q469" s="394"/>
      <c r="R469" s="551"/>
      <c r="S469" s="395"/>
      <c r="T469" s="395"/>
      <c r="U469" s="395"/>
      <c r="V469" s="395"/>
      <c r="W469" s="395"/>
      <c r="X469" s="622"/>
      <c r="Y469" s="458"/>
      <c r="Z469" s="458"/>
      <c r="AA469" s="458"/>
    </row>
    <row r="470" spans="1:27" s="303" customFormat="1" ht="14.25">
      <c r="A470" s="384"/>
      <c r="B470" s="384"/>
      <c r="C470" s="384"/>
      <c r="D470" s="384"/>
      <c r="E470" s="384"/>
      <c r="F470" s="384"/>
      <c r="G470" s="388"/>
      <c r="H470" s="389"/>
      <c r="I470" s="388"/>
      <c r="J470" s="391"/>
      <c r="K470" s="392"/>
      <c r="L470" s="392"/>
      <c r="M470" s="392"/>
      <c r="N470" s="388"/>
      <c r="O470" s="388"/>
      <c r="P470" s="392"/>
      <c r="Q470" s="394"/>
      <c r="R470" s="392"/>
      <c r="S470" s="395"/>
      <c r="T470" s="396"/>
      <c r="U470" s="396"/>
      <c r="V470" s="396"/>
      <c r="W470" s="396"/>
      <c r="X470" s="397"/>
      <c r="Y470" s="339"/>
      <c r="Z470" s="339"/>
      <c r="AA470" s="339"/>
    </row>
    <row r="471" spans="1:27" s="303" customFormat="1" ht="14.25">
      <c r="A471" s="384"/>
      <c r="B471" s="384"/>
      <c r="C471" s="384"/>
      <c r="D471" s="384"/>
      <c r="E471" s="384"/>
      <c r="F471" s="384"/>
      <c r="G471" s="387"/>
      <c r="H471" s="549"/>
      <c r="I471" s="387"/>
      <c r="J471" s="550"/>
      <c r="K471" s="551"/>
      <c r="L471" s="551"/>
      <c r="M471" s="551"/>
      <c r="N471" s="387"/>
      <c r="O471" s="387"/>
      <c r="P471" s="551"/>
      <c r="Q471" s="394"/>
      <c r="R471" s="551"/>
      <c r="S471" s="395"/>
      <c r="T471" s="395"/>
      <c r="U471" s="395"/>
      <c r="V471" s="395"/>
      <c r="W471" s="395"/>
      <c r="X471" s="622"/>
      <c r="Y471" s="458"/>
      <c r="Z471" s="458"/>
      <c r="AA471" s="458"/>
    </row>
    <row r="472" spans="1:27" s="303" customFormat="1" ht="14.25">
      <c r="A472" s="384"/>
      <c r="B472" s="384"/>
      <c r="C472" s="384"/>
      <c r="D472" s="384"/>
      <c r="E472" s="384"/>
      <c r="F472" s="384"/>
      <c r="G472" s="388"/>
      <c r="H472" s="389"/>
      <c r="I472" s="388"/>
      <c r="J472" s="391"/>
      <c r="K472" s="392"/>
      <c r="L472" s="392"/>
      <c r="M472" s="392"/>
      <c r="N472" s="388"/>
      <c r="O472" s="388"/>
      <c r="P472" s="392"/>
      <c r="Q472" s="394"/>
      <c r="R472" s="392"/>
      <c r="S472" s="395"/>
      <c r="T472" s="396"/>
      <c r="U472" s="396"/>
      <c r="V472" s="396"/>
      <c r="W472" s="396"/>
      <c r="X472" s="397"/>
      <c r="Y472" s="339"/>
      <c r="Z472" s="339"/>
      <c r="AA472" s="339"/>
    </row>
    <row r="473" spans="1:27" s="303" customFormat="1" ht="14.25">
      <c r="A473" s="384"/>
      <c r="B473" s="384"/>
      <c r="C473" s="384"/>
      <c r="D473" s="384"/>
      <c r="E473" s="384"/>
      <c r="F473" s="384"/>
      <c r="G473" s="387"/>
      <c r="H473" s="549"/>
      <c r="I473" s="387"/>
      <c r="J473" s="550"/>
      <c r="K473" s="551"/>
      <c r="L473" s="551"/>
      <c r="M473" s="551"/>
      <c r="N473" s="387"/>
      <c r="O473" s="387"/>
      <c r="P473" s="551"/>
      <c r="Q473" s="394"/>
      <c r="R473" s="551"/>
      <c r="S473" s="395"/>
      <c r="T473" s="395"/>
      <c r="U473" s="395"/>
      <c r="V473" s="395"/>
      <c r="W473" s="395"/>
      <c r="X473" s="622"/>
      <c r="Y473" s="458"/>
      <c r="Z473" s="458"/>
      <c r="AA473" s="458"/>
    </row>
    <row r="474" spans="1:27" s="303" customFormat="1" ht="14.25">
      <c r="A474" s="384"/>
      <c r="B474" s="384"/>
      <c r="C474" s="384"/>
      <c r="D474" s="384"/>
      <c r="E474" s="384"/>
      <c r="F474" s="384"/>
      <c r="G474" s="388"/>
      <c r="H474" s="389"/>
      <c r="I474" s="388"/>
      <c r="J474" s="391"/>
      <c r="K474" s="392"/>
      <c r="L474" s="392"/>
      <c r="M474" s="392"/>
      <c r="N474" s="388"/>
      <c r="O474" s="388"/>
      <c r="P474" s="392"/>
      <c r="Q474" s="394"/>
      <c r="R474" s="392"/>
      <c r="S474" s="395"/>
      <c r="T474" s="396"/>
      <c r="U474" s="396"/>
      <c r="V474" s="396"/>
      <c r="W474" s="396"/>
      <c r="X474" s="397"/>
      <c r="Y474" s="339"/>
      <c r="Z474" s="339"/>
      <c r="AA474" s="339"/>
    </row>
    <row r="475" spans="1:27" s="303" customFormat="1" ht="14.25">
      <c r="A475" s="384"/>
      <c r="B475" s="384"/>
      <c r="C475" s="384"/>
      <c r="D475" s="384"/>
      <c r="E475" s="384"/>
      <c r="F475" s="384"/>
      <c r="G475" s="387"/>
      <c r="H475" s="549"/>
      <c r="I475" s="387"/>
      <c r="J475" s="550"/>
      <c r="K475" s="551"/>
      <c r="L475" s="551"/>
      <c r="M475" s="551"/>
      <c r="N475" s="387"/>
      <c r="O475" s="387"/>
      <c r="P475" s="551"/>
      <c r="Q475" s="394"/>
      <c r="R475" s="551"/>
      <c r="S475" s="395"/>
      <c r="T475" s="395"/>
      <c r="U475" s="395"/>
      <c r="V475" s="395"/>
      <c r="W475" s="395"/>
      <c r="X475" s="622"/>
      <c r="Y475" s="458"/>
      <c r="Z475" s="458"/>
      <c r="AA475" s="458"/>
    </row>
    <row r="476" spans="1:27" s="303" customFormat="1" ht="14.25">
      <c r="A476" s="384"/>
      <c r="B476" s="384"/>
      <c r="C476" s="384"/>
      <c r="D476" s="384"/>
      <c r="E476" s="384"/>
      <c r="F476" s="384"/>
      <c r="G476" s="388"/>
      <c r="H476" s="389"/>
      <c r="I476" s="388"/>
      <c r="J476" s="391"/>
      <c r="K476" s="392"/>
      <c r="L476" s="392"/>
      <c r="M476" s="392"/>
      <c r="N476" s="388"/>
      <c r="O476" s="388"/>
      <c r="P476" s="392"/>
      <c r="Q476" s="394"/>
      <c r="R476" s="392"/>
      <c r="S476" s="395"/>
      <c r="T476" s="396"/>
      <c r="U476" s="396"/>
      <c r="V476" s="396"/>
      <c r="W476" s="396"/>
      <c r="X476" s="397"/>
      <c r="Y476" s="339"/>
      <c r="Z476" s="339"/>
      <c r="AA476" s="339"/>
    </row>
    <row r="477" spans="1:27" s="303" customFormat="1" ht="14.25">
      <c r="A477" s="384"/>
      <c r="B477" s="384"/>
      <c r="C477" s="384"/>
      <c r="D477" s="384"/>
      <c r="E477" s="384"/>
      <c r="F477" s="384"/>
      <c r="G477" s="387"/>
      <c r="H477" s="549"/>
      <c r="I477" s="387"/>
      <c r="J477" s="550"/>
      <c r="K477" s="551"/>
      <c r="L477" s="551"/>
      <c r="M477" s="551"/>
      <c r="N477" s="387"/>
      <c r="O477" s="387"/>
      <c r="P477" s="551"/>
      <c r="Q477" s="394"/>
      <c r="R477" s="551"/>
      <c r="S477" s="395"/>
      <c r="T477" s="395"/>
      <c r="U477" s="395"/>
      <c r="V477" s="395"/>
      <c r="W477" s="395"/>
      <c r="X477" s="622"/>
      <c r="Y477" s="458"/>
      <c r="Z477" s="458"/>
      <c r="AA477" s="458"/>
    </row>
    <row r="478" spans="1:27" s="303" customFormat="1" ht="14.25">
      <c r="A478" s="384"/>
      <c r="B478" s="384"/>
      <c r="C478" s="384"/>
      <c r="D478" s="384"/>
      <c r="E478" s="384"/>
      <c r="F478" s="384"/>
      <c r="G478" s="388"/>
      <c r="H478" s="389"/>
      <c r="I478" s="388"/>
      <c r="J478" s="391"/>
      <c r="K478" s="392"/>
      <c r="L478" s="392"/>
      <c r="M478" s="392"/>
      <c r="N478" s="388"/>
      <c r="O478" s="388"/>
      <c r="P478" s="392"/>
      <c r="Q478" s="394"/>
      <c r="R478" s="392"/>
      <c r="S478" s="395"/>
      <c r="T478" s="396"/>
      <c r="U478" s="396"/>
      <c r="V478" s="396"/>
      <c r="W478" s="396"/>
      <c r="X478" s="397"/>
      <c r="Y478" s="339"/>
      <c r="Z478" s="339"/>
      <c r="AA478" s="339"/>
    </row>
    <row r="479" spans="1:27" s="303" customFormat="1" ht="14.25">
      <c r="A479" s="384"/>
      <c r="B479" s="384"/>
      <c r="C479" s="384"/>
      <c r="D479" s="384"/>
      <c r="E479" s="384"/>
      <c r="F479" s="384"/>
      <c r="G479" s="387"/>
      <c r="H479" s="549"/>
      <c r="I479" s="387"/>
      <c r="J479" s="550"/>
      <c r="K479" s="551"/>
      <c r="L479" s="551"/>
      <c r="M479" s="551"/>
      <c r="N479" s="387"/>
      <c r="O479" s="387"/>
      <c r="P479" s="551"/>
      <c r="Q479" s="394"/>
      <c r="R479" s="551"/>
      <c r="S479" s="395"/>
      <c r="T479" s="395"/>
      <c r="U479" s="395"/>
      <c r="V479" s="395"/>
      <c r="W479" s="395"/>
      <c r="X479" s="622"/>
      <c r="Y479" s="458"/>
      <c r="Z479" s="458"/>
      <c r="AA479" s="458"/>
    </row>
    <row r="480" spans="1:27" s="303" customFormat="1" ht="14.25">
      <c r="A480" s="384"/>
      <c r="B480" s="384"/>
      <c r="C480" s="384"/>
      <c r="D480" s="384"/>
      <c r="E480" s="384"/>
      <c r="F480" s="384"/>
      <c r="G480" s="388"/>
      <c r="H480" s="389"/>
      <c r="I480" s="388"/>
      <c r="J480" s="391"/>
      <c r="K480" s="392"/>
      <c r="L480" s="392"/>
      <c r="M480" s="392"/>
      <c r="N480" s="388"/>
      <c r="O480" s="388"/>
      <c r="P480" s="392"/>
      <c r="Q480" s="394"/>
      <c r="R480" s="392"/>
      <c r="S480" s="395"/>
      <c r="T480" s="396"/>
      <c r="U480" s="396"/>
      <c r="V480" s="396"/>
      <c r="W480" s="396"/>
      <c r="X480" s="397"/>
      <c r="Y480" s="339"/>
      <c r="Z480" s="339"/>
      <c r="AA480" s="339"/>
    </row>
    <row r="481" spans="1:27" s="303" customFormat="1" ht="14.25">
      <c r="A481" s="384"/>
      <c r="B481" s="384"/>
      <c r="C481" s="384"/>
      <c r="D481" s="384"/>
      <c r="E481" s="384"/>
      <c r="F481" s="384"/>
      <c r="G481" s="387"/>
      <c r="H481" s="549"/>
      <c r="I481" s="387"/>
      <c r="J481" s="550"/>
      <c r="K481" s="551"/>
      <c r="L481" s="551"/>
      <c r="M481" s="551"/>
      <c r="N481" s="387"/>
      <c r="O481" s="387"/>
      <c r="P481" s="551"/>
      <c r="Q481" s="394"/>
      <c r="R481" s="551"/>
      <c r="S481" s="395"/>
      <c r="T481" s="395"/>
      <c r="U481" s="395"/>
      <c r="V481" s="395"/>
      <c r="W481" s="395"/>
      <c r="X481" s="622"/>
      <c r="Y481" s="458"/>
      <c r="Z481" s="458"/>
      <c r="AA481" s="458"/>
    </row>
    <row r="482" spans="1:27" s="303" customFormat="1" ht="14.25">
      <c r="A482" s="384"/>
      <c r="B482" s="384"/>
      <c r="C482" s="384"/>
      <c r="D482" s="384"/>
      <c r="E482" s="384"/>
      <c r="F482" s="384"/>
      <c r="G482" s="388"/>
      <c r="H482" s="389"/>
      <c r="I482" s="388"/>
      <c r="J482" s="391"/>
      <c r="K482" s="392"/>
      <c r="L482" s="392"/>
      <c r="M482" s="392"/>
      <c r="N482" s="388"/>
      <c r="O482" s="388"/>
      <c r="P482" s="392"/>
      <c r="Q482" s="394"/>
      <c r="R482" s="392"/>
      <c r="S482" s="395"/>
      <c r="T482" s="396"/>
      <c r="U482" s="396"/>
      <c r="V482" s="396"/>
      <c r="W482" s="396"/>
      <c r="X482" s="397"/>
      <c r="Y482" s="339"/>
      <c r="Z482" s="339"/>
      <c r="AA482" s="339"/>
    </row>
    <row r="483" spans="1:27" s="303" customFormat="1" ht="14.25">
      <c r="A483" s="384"/>
      <c r="B483" s="384"/>
      <c r="C483" s="384"/>
      <c r="D483" s="384"/>
      <c r="E483" s="384"/>
      <c r="F483" s="384"/>
      <c r="G483" s="387"/>
      <c r="H483" s="549"/>
      <c r="I483" s="387"/>
      <c r="J483" s="550"/>
      <c r="K483" s="551"/>
      <c r="L483" s="551"/>
      <c r="M483" s="551"/>
      <c r="N483" s="387"/>
      <c r="O483" s="387"/>
      <c r="P483" s="551"/>
      <c r="Q483" s="394"/>
      <c r="R483" s="551"/>
      <c r="S483" s="395"/>
      <c r="T483" s="395"/>
      <c r="U483" s="395"/>
      <c r="V483" s="395"/>
      <c r="W483" s="395"/>
      <c r="X483" s="622"/>
      <c r="Y483" s="458"/>
      <c r="Z483" s="458"/>
      <c r="AA483" s="458"/>
    </row>
    <row r="484" spans="1:27" s="303" customFormat="1" ht="14.25">
      <c r="A484" s="384"/>
      <c r="B484" s="384"/>
      <c r="C484" s="384"/>
      <c r="D484" s="384"/>
      <c r="E484" s="384"/>
      <c r="F484" s="384"/>
      <c r="G484" s="388"/>
      <c r="H484" s="389"/>
      <c r="I484" s="388"/>
      <c r="J484" s="391"/>
      <c r="K484" s="392"/>
      <c r="L484" s="392"/>
      <c r="M484" s="392"/>
      <c r="N484" s="388"/>
      <c r="O484" s="388"/>
      <c r="P484" s="392"/>
      <c r="Q484" s="394"/>
      <c r="R484" s="392"/>
      <c r="S484" s="395"/>
      <c r="T484" s="396"/>
      <c r="U484" s="396"/>
      <c r="V484" s="396"/>
      <c r="W484" s="396"/>
      <c r="X484" s="397"/>
      <c r="Y484" s="339"/>
      <c r="Z484" s="339"/>
      <c r="AA484" s="339"/>
    </row>
    <row r="485" spans="1:27" s="303" customFormat="1" ht="14.25">
      <c r="A485" s="384"/>
      <c r="B485" s="384"/>
      <c r="C485" s="384"/>
      <c r="D485" s="384"/>
      <c r="E485" s="384"/>
      <c r="F485" s="384"/>
      <c r="G485" s="387"/>
      <c r="H485" s="549"/>
      <c r="I485" s="387"/>
      <c r="J485" s="550"/>
      <c r="K485" s="551"/>
      <c r="L485" s="551"/>
      <c r="M485" s="551"/>
      <c r="N485" s="387"/>
      <c r="O485" s="387"/>
      <c r="P485" s="551"/>
      <c r="Q485" s="394"/>
      <c r="R485" s="551"/>
      <c r="S485" s="395"/>
      <c r="T485" s="395"/>
      <c r="U485" s="395"/>
      <c r="V485" s="395"/>
      <c r="W485" s="395"/>
      <c r="X485" s="622"/>
      <c r="Y485" s="458"/>
      <c r="Z485" s="458"/>
      <c r="AA485" s="458"/>
    </row>
    <row r="486" spans="1:27" s="303" customFormat="1" ht="14.25">
      <c r="A486" s="384"/>
      <c r="B486" s="384"/>
      <c r="C486" s="384"/>
      <c r="D486" s="384"/>
      <c r="E486" s="384"/>
      <c r="F486" s="384"/>
      <c r="G486" s="388"/>
      <c r="H486" s="389"/>
      <c r="I486" s="388"/>
      <c r="J486" s="391"/>
      <c r="K486" s="392"/>
      <c r="L486" s="392"/>
      <c r="M486" s="392"/>
      <c r="N486" s="388"/>
      <c r="O486" s="388"/>
      <c r="P486" s="392"/>
      <c r="Q486" s="394"/>
      <c r="R486" s="392"/>
      <c r="S486" s="395"/>
      <c r="T486" s="396"/>
      <c r="U486" s="396"/>
      <c r="V486" s="396"/>
      <c r="W486" s="396"/>
      <c r="X486" s="397"/>
      <c r="Y486" s="339"/>
      <c r="Z486" s="339"/>
      <c r="AA486" s="339"/>
    </row>
    <row r="487" spans="1:27" s="303" customFormat="1" ht="14.25">
      <c r="A487" s="384"/>
      <c r="B487" s="384"/>
      <c r="C487" s="384"/>
      <c r="D487" s="384"/>
      <c r="E487" s="384"/>
      <c r="F487" s="384"/>
      <c r="G487" s="387"/>
      <c r="H487" s="549"/>
      <c r="I487" s="387"/>
      <c r="J487" s="550"/>
      <c r="K487" s="551"/>
      <c r="L487" s="551"/>
      <c r="M487" s="551"/>
      <c r="N487" s="387"/>
      <c r="O487" s="387"/>
      <c r="P487" s="551"/>
      <c r="Q487" s="394"/>
      <c r="R487" s="551"/>
      <c r="S487" s="395"/>
      <c r="T487" s="395"/>
      <c r="U487" s="395"/>
      <c r="V487" s="395"/>
      <c r="W487" s="395"/>
      <c r="X487" s="622"/>
      <c r="Y487" s="458"/>
      <c r="Z487" s="458"/>
      <c r="AA487" s="458"/>
    </row>
    <row r="488" spans="1:27" s="303" customFormat="1" ht="14.25">
      <c r="A488" s="384"/>
      <c r="B488" s="384"/>
      <c r="C488" s="384"/>
      <c r="D488" s="384"/>
      <c r="E488" s="384"/>
      <c r="F488" s="384"/>
      <c r="G488" s="388"/>
      <c r="H488" s="389"/>
      <c r="I488" s="388"/>
      <c r="J488" s="391"/>
      <c r="K488" s="392"/>
      <c r="L488" s="392"/>
      <c r="M488" s="392"/>
      <c r="N488" s="388"/>
      <c r="O488" s="388"/>
      <c r="P488" s="392"/>
      <c r="Q488" s="394"/>
      <c r="R488" s="392"/>
      <c r="S488" s="395"/>
      <c r="T488" s="396"/>
      <c r="U488" s="396"/>
      <c r="V488" s="396"/>
      <c r="W488" s="396"/>
      <c r="X488" s="397"/>
      <c r="Y488" s="339"/>
      <c r="Z488" s="339"/>
      <c r="AA488" s="339"/>
    </row>
    <row r="489" spans="1:27" s="303" customFormat="1" ht="14.25">
      <c r="A489" s="384"/>
      <c r="B489" s="384"/>
      <c r="C489" s="384"/>
      <c r="D489" s="384"/>
      <c r="E489" s="384"/>
      <c r="F489" s="384"/>
      <c r="G489" s="387"/>
      <c r="H489" s="549"/>
      <c r="I489" s="387"/>
      <c r="J489" s="550"/>
      <c r="K489" s="551"/>
      <c r="L489" s="551"/>
      <c r="M489" s="551"/>
      <c r="N489" s="387"/>
      <c r="O489" s="387"/>
      <c r="P489" s="551"/>
      <c r="Q489" s="394"/>
      <c r="R489" s="551"/>
      <c r="S489" s="395"/>
      <c r="T489" s="395"/>
      <c r="U489" s="395"/>
      <c r="V489" s="395"/>
      <c r="W489" s="395"/>
      <c r="X489" s="622"/>
      <c r="Y489" s="458"/>
      <c r="Z489" s="458"/>
      <c r="AA489" s="458"/>
    </row>
    <row r="490" spans="1:27" s="303" customFormat="1" ht="14.25">
      <c r="A490" s="384"/>
      <c r="B490" s="384"/>
      <c r="C490" s="384"/>
      <c r="D490" s="384"/>
      <c r="E490" s="384"/>
      <c r="F490" s="384"/>
      <c r="G490" s="388"/>
      <c r="H490" s="389"/>
      <c r="I490" s="388"/>
      <c r="J490" s="391"/>
      <c r="K490" s="392"/>
      <c r="L490" s="392"/>
      <c r="M490" s="392"/>
      <c r="N490" s="388"/>
      <c r="O490" s="388"/>
      <c r="P490" s="392"/>
      <c r="Q490" s="394"/>
      <c r="R490" s="392"/>
      <c r="S490" s="395"/>
      <c r="T490" s="396"/>
      <c r="U490" s="396"/>
      <c r="V490" s="396"/>
      <c r="W490" s="396"/>
      <c r="X490" s="397"/>
      <c r="Y490" s="339"/>
      <c r="Z490" s="339"/>
      <c r="AA490" s="339"/>
    </row>
    <row r="491" spans="1:27" s="303" customFormat="1" ht="14.25">
      <c r="A491" s="384"/>
      <c r="B491" s="384"/>
      <c r="C491" s="384"/>
      <c r="D491" s="384"/>
      <c r="E491" s="384"/>
      <c r="F491" s="384"/>
      <c r="G491" s="387"/>
      <c r="H491" s="549"/>
      <c r="I491" s="387"/>
      <c r="J491" s="550"/>
      <c r="K491" s="551"/>
      <c r="L491" s="551"/>
      <c r="M491" s="551"/>
      <c r="N491" s="387"/>
      <c r="O491" s="387"/>
      <c r="P491" s="551"/>
      <c r="Q491" s="394"/>
      <c r="R491" s="551"/>
      <c r="S491" s="395"/>
      <c r="T491" s="395"/>
      <c r="U491" s="395"/>
      <c r="V491" s="395"/>
      <c r="W491" s="395"/>
      <c r="X491" s="622"/>
      <c r="Y491" s="458"/>
      <c r="Z491" s="458"/>
      <c r="AA491" s="458"/>
    </row>
    <row r="492" spans="1:27" s="303" customFormat="1" ht="14.25">
      <c r="A492" s="384"/>
      <c r="B492" s="384"/>
      <c r="C492" s="384"/>
      <c r="D492" s="384"/>
      <c r="E492" s="384"/>
      <c r="F492" s="384"/>
      <c r="G492" s="388"/>
      <c r="H492" s="389"/>
      <c r="I492" s="388"/>
      <c r="J492" s="391"/>
      <c r="K492" s="392"/>
      <c r="L492" s="392"/>
      <c r="M492" s="392"/>
      <c r="N492" s="388"/>
      <c r="O492" s="388"/>
      <c r="P492" s="392"/>
      <c r="Q492" s="394"/>
      <c r="R492" s="392"/>
      <c r="S492" s="395"/>
      <c r="T492" s="396"/>
      <c r="U492" s="396"/>
      <c r="V492" s="396"/>
      <c r="W492" s="396"/>
      <c r="X492" s="397"/>
      <c r="Y492" s="339"/>
      <c r="Z492" s="339"/>
      <c r="AA492" s="339"/>
    </row>
    <row r="493" spans="1:27" s="303" customFormat="1" ht="14.25">
      <c r="A493" s="384"/>
      <c r="B493" s="384"/>
      <c r="C493" s="384"/>
      <c r="D493" s="384"/>
      <c r="E493" s="384"/>
      <c r="F493" s="384"/>
      <c r="G493" s="387"/>
      <c r="H493" s="549"/>
      <c r="I493" s="387"/>
      <c r="J493" s="550"/>
      <c r="K493" s="551"/>
      <c r="L493" s="551"/>
      <c r="M493" s="551"/>
      <c r="N493" s="387"/>
      <c r="O493" s="387"/>
      <c r="P493" s="551"/>
      <c r="Q493" s="394"/>
      <c r="R493" s="551"/>
      <c r="S493" s="395"/>
      <c r="T493" s="395"/>
      <c r="U493" s="395"/>
      <c r="V493" s="395"/>
      <c r="W493" s="395"/>
      <c r="X493" s="622"/>
      <c r="Y493" s="458"/>
      <c r="Z493" s="458"/>
      <c r="AA493" s="458"/>
    </row>
    <row r="494" spans="1:27" s="303" customFormat="1" ht="14.25">
      <c r="A494" s="384"/>
      <c r="B494" s="384"/>
      <c r="C494" s="384"/>
      <c r="D494" s="384"/>
      <c r="E494" s="384"/>
      <c r="F494" s="384"/>
      <c r="G494" s="388"/>
      <c r="H494" s="389"/>
      <c r="I494" s="388"/>
      <c r="J494" s="391"/>
      <c r="K494" s="392"/>
      <c r="L494" s="392"/>
      <c r="M494" s="392"/>
      <c r="N494" s="388"/>
      <c r="O494" s="388"/>
      <c r="P494" s="392"/>
      <c r="Q494" s="394"/>
      <c r="R494" s="392"/>
      <c r="S494" s="395"/>
      <c r="T494" s="396"/>
      <c r="U494" s="396"/>
      <c r="V494" s="396"/>
      <c r="W494" s="396"/>
      <c r="X494" s="397"/>
      <c r="Y494" s="339"/>
      <c r="Z494" s="339"/>
      <c r="AA494" s="339"/>
    </row>
    <row r="495" spans="1:27" s="303" customFormat="1" ht="14.25">
      <c r="A495" s="384"/>
      <c r="B495" s="384"/>
      <c r="C495" s="384"/>
      <c r="D495" s="384"/>
      <c r="E495" s="384"/>
      <c r="F495" s="384"/>
      <c r="G495" s="387"/>
      <c r="H495" s="549"/>
      <c r="I495" s="387"/>
      <c r="J495" s="550"/>
      <c r="K495" s="551"/>
      <c r="L495" s="551"/>
      <c r="M495" s="551"/>
      <c r="N495" s="387"/>
      <c r="O495" s="387"/>
      <c r="P495" s="551"/>
      <c r="Q495" s="394"/>
      <c r="R495" s="551"/>
      <c r="S495" s="395"/>
      <c r="T495" s="395"/>
      <c r="U495" s="395"/>
      <c r="V495" s="395"/>
      <c r="W495" s="395"/>
      <c r="X495" s="622"/>
      <c r="Y495" s="458"/>
      <c r="Z495" s="458"/>
      <c r="AA495" s="458"/>
    </row>
    <row r="496" spans="1:27" s="303" customFormat="1" ht="14.25">
      <c r="A496" s="384"/>
      <c r="B496" s="384"/>
      <c r="C496" s="384"/>
      <c r="D496" s="384"/>
      <c r="E496" s="384"/>
      <c r="F496" s="384"/>
      <c r="G496" s="388"/>
      <c r="H496" s="389"/>
      <c r="I496" s="388"/>
      <c r="J496" s="391"/>
      <c r="K496" s="392"/>
      <c r="L496" s="392"/>
      <c r="M496" s="392"/>
      <c r="N496" s="388"/>
      <c r="O496" s="388"/>
      <c r="P496" s="392"/>
      <c r="Q496" s="394"/>
      <c r="R496" s="392"/>
      <c r="S496" s="395"/>
      <c r="T496" s="396"/>
      <c r="U496" s="396"/>
      <c r="V496" s="396"/>
      <c r="W496" s="396"/>
      <c r="X496" s="397"/>
      <c r="Y496" s="339"/>
      <c r="Z496" s="339"/>
      <c r="AA496" s="339"/>
    </row>
    <row r="497" spans="1:27" s="303" customFormat="1" ht="14.25">
      <c r="A497" s="384"/>
      <c r="B497" s="384"/>
      <c r="C497" s="384"/>
      <c r="D497" s="384"/>
      <c r="E497" s="384"/>
      <c r="F497" s="384"/>
      <c r="G497" s="387"/>
      <c r="H497" s="549"/>
      <c r="I497" s="387"/>
      <c r="J497" s="550"/>
      <c r="K497" s="551"/>
      <c r="L497" s="551"/>
      <c r="M497" s="551"/>
      <c r="N497" s="387"/>
      <c r="O497" s="387"/>
      <c r="P497" s="551"/>
      <c r="Q497" s="394"/>
      <c r="R497" s="551"/>
      <c r="S497" s="395"/>
      <c r="T497" s="395"/>
      <c r="U497" s="395"/>
      <c r="V497" s="395"/>
      <c r="W497" s="395"/>
      <c r="X497" s="622"/>
      <c r="Y497" s="458"/>
      <c r="Z497" s="458"/>
      <c r="AA497" s="458"/>
    </row>
    <row r="498" spans="1:27" s="303" customFormat="1" ht="14.25">
      <c r="A498" s="384"/>
      <c r="B498" s="384"/>
      <c r="C498" s="384"/>
      <c r="D498" s="384"/>
      <c r="E498" s="384"/>
      <c r="F498" s="384"/>
      <c r="G498" s="388"/>
      <c r="H498" s="389"/>
      <c r="I498" s="388"/>
      <c r="J498" s="391"/>
      <c r="K498" s="392"/>
      <c r="L498" s="392"/>
      <c r="M498" s="392"/>
      <c r="N498" s="388"/>
      <c r="O498" s="388"/>
      <c r="P498" s="392"/>
      <c r="Q498" s="394"/>
      <c r="R498" s="392"/>
      <c r="S498" s="395"/>
      <c r="T498" s="396"/>
      <c r="U498" s="396"/>
      <c r="V498" s="396"/>
      <c r="W498" s="396"/>
      <c r="X498" s="397"/>
      <c r="Y498" s="339"/>
      <c r="Z498" s="339"/>
      <c r="AA498" s="339"/>
    </row>
    <row r="499" spans="1:27" s="303" customFormat="1" ht="14.25">
      <c r="A499" s="384"/>
      <c r="B499" s="384"/>
      <c r="C499" s="384"/>
      <c r="D499" s="384"/>
      <c r="E499" s="384"/>
      <c r="F499" s="384"/>
      <c r="G499" s="387"/>
      <c r="H499" s="549"/>
      <c r="I499" s="387"/>
      <c r="J499" s="550"/>
      <c r="K499" s="551"/>
      <c r="L499" s="551"/>
      <c r="M499" s="551"/>
      <c r="N499" s="387"/>
      <c r="O499" s="387"/>
      <c r="P499" s="551"/>
      <c r="Q499" s="394"/>
      <c r="R499" s="551"/>
      <c r="S499" s="395"/>
      <c r="T499" s="395"/>
      <c r="U499" s="395"/>
      <c r="V499" s="395"/>
      <c r="W499" s="395"/>
      <c r="X499" s="622"/>
      <c r="Y499" s="458"/>
      <c r="Z499" s="458"/>
      <c r="AA499" s="458"/>
    </row>
    <row r="500" spans="1:27" s="303" customFormat="1" ht="14.25">
      <c r="A500" s="384"/>
      <c r="B500" s="384"/>
      <c r="C500" s="384"/>
      <c r="D500" s="384"/>
      <c r="E500" s="384"/>
      <c r="F500" s="384"/>
      <c r="G500" s="388"/>
      <c r="H500" s="389"/>
      <c r="I500" s="388"/>
      <c r="J500" s="391"/>
      <c r="K500" s="392"/>
      <c r="L500" s="392"/>
      <c r="M500" s="392"/>
      <c r="N500" s="388"/>
      <c r="O500" s="388"/>
      <c r="P500" s="392"/>
      <c r="Q500" s="394"/>
      <c r="R500" s="392"/>
      <c r="S500" s="395"/>
      <c r="T500" s="396"/>
      <c r="U500" s="396"/>
      <c r="V500" s="396"/>
      <c r="W500" s="396"/>
      <c r="X500" s="397"/>
      <c r="Y500" s="339"/>
      <c r="Z500" s="339"/>
      <c r="AA500" s="339"/>
    </row>
    <row r="501" spans="1:27" s="303" customFormat="1" ht="14.25">
      <c r="A501" s="384"/>
      <c r="B501" s="384"/>
      <c r="C501" s="384"/>
      <c r="D501" s="384"/>
      <c r="E501" s="384"/>
      <c r="F501" s="384"/>
      <c r="G501" s="387"/>
      <c r="H501" s="549"/>
      <c r="I501" s="387"/>
      <c r="J501" s="550"/>
      <c r="K501" s="551"/>
      <c r="L501" s="551"/>
      <c r="M501" s="551"/>
      <c r="N501" s="387"/>
      <c r="O501" s="387"/>
      <c r="P501" s="551"/>
      <c r="Q501" s="394"/>
      <c r="R501" s="551"/>
      <c r="S501" s="395"/>
      <c r="T501" s="395"/>
      <c r="U501" s="395"/>
      <c r="V501" s="395"/>
      <c r="W501" s="395"/>
      <c r="X501" s="622"/>
      <c r="Y501" s="458"/>
      <c r="Z501" s="458"/>
      <c r="AA501" s="458"/>
    </row>
    <row r="502" spans="1:27" s="303" customFormat="1" ht="14.25">
      <c r="A502" s="384"/>
      <c r="B502" s="384"/>
      <c r="C502" s="384"/>
      <c r="D502" s="384"/>
      <c r="E502" s="384"/>
      <c r="F502" s="384"/>
      <c r="G502" s="388"/>
      <c r="H502" s="389"/>
      <c r="I502" s="388"/>
      <c r="J502" s="391"/>
      <c r="K502" s="392"/>
      <c r="L502" s="392"/>
      <c r="M502" s="392"/>
      <c r="N502" s="388"/>
      <c r="O502" s="388"/>
      <c r="P502" s="392"/>
      <c r="Q502" s="394"/>
      <c r="R502" s="392"/>
      <c r="S502" s="395"/>
      <c r="T502" s="396"/>
      <c r="U502" s="396"/>
      <c r="V502" s="396"/>
      <c r="W502" s="396"/>
      <c r="X502" s="397"/>
      <c r="Y502" s="339"/>
      <c r="Z502" s="339"/>
      <c r="AA502" s="339"/>
    </row>
    <row r="503" spans="1:27" s="303" customFormat="1" ht="14.25">
      <c r="A503" s="384"/>
      <c r="B503" s="384"/>
      <c r="C503" s="384"/>
      <c r="D503" s="384"/>
      <c r="E503" s="384"/>
      <c r="F503" s="384"/>
      <c r="G503" s="387"/>
      <c r="H503" s="549"/>
      <c r="I503" s="387"/>
      <c r="J503" s="550"/>
      <c r="K503" s="551"/>
      <c r="L503" s="551"/>
      <c r="M503" s="551"/>
      <c r="N503" s="387"/>
      <c r="O503" s="387"/>
      <c r="P503" s="551"/>
      <c r="Q503" s="394"/>
      <c r="R503" s="551"/>
      <c r="S503" s="395"/>
      <c r="T503" s="395"/>
      <c r="U503" s="395"/>
      <c r="V503" s="395"/>
      <c r="W503" s="395"/>
      <c r="X503" s="622"/>
      <c r="Y503" s="458"/>
      <c r="Z503" s="458"/>
      <c r="AA503" s="458"/>
    </row>
    <row r="504" spans="1:27" s="303" customFormat="1" ht="14.25">
      <c r="A504" s="384"/>
      <c r="B504" s="384"/>
      <c r="C504" s="384"/>
      <c r="D504" s="384"/>
      <c r="E504" s="384"/>
      <c r="F504" s="384"/>
      <c r="G504" s="388"/>
      <c r="H504" s="389"/>
      <c r="I504" s="388"/>
      <c r="J504" s="391"/>
      <c r="K504" s="392"/>
      <c r="L504" s="392"/>
      <c r="M504" s="392"/>
      <c r="N504" s="388"/>
      <c r="O504" s="388"/>
      <c r="P504" s="392"/>
      <c r="Q504" s="394"/>
      <c r="R504" s="392"/>
      <c r="S504" s="395"/>
      <c r="T504" s="396"/>
      <c r="U504" s="396"/>
      <c r="V504" s="396"/>
      <c r="W504" s="396"/>
      <c r="X504" s="397"/>
      <c r="Y504" s="339"/>
      <c r="Z504" s="339"/>
      <c r="AA504" s="339"/>
    </row>
    <row r="505" spans="1:27" s="303" customFormat="1" ht="14.25">
      <c r="A505" s="384"/>
      <c r="B505" s="384"/>
      <c r="C505" s="384"/>
      <c r="D505" s="384"/>
      <c r="E505" s="384"/>
      <c r="F505" s="384"/>
      <c r="G505" s="387"/>
      <c r="H505" s="549"/>
      <c r="I505" s="387"/>
      <c r="J505" s="550"/>
      <c r="K505" s="551"/>
      <c r="L505" s="551"/>
      <c r="M505" s="551"/>
      <c r="N505" s="387"/>
      <c r="O505" s="387"/>
      <c r="P505" s="551"/>
      <c r="Q505" s="394"/>
      <c r="R505" s="551"/>
      <c r="S505" s="395"/>
      <c r="T505" s="395"/>
      <c r="U505" s="395"/>
      <c r="V505" s="395"/>
      <c r="W505" s="395"/>
      <c r="X505" s="622"/>
      <c r="Y505" s="458"/>
      <c r="Z505" s="458"/>
      <c r="AA505" s="458"/>
    </row>
    <row r="506" spans="1:27" s="303" customFormat="1" ht="14.25">
      <c r="A506" s="384"/>
      <c r="B506" s="384"/>
      <c r="C506" s="384"/>
      <c r="D506" s="384"/>
      <c r="E506" s="384"/>
      <c r="F506" s="384"/>
      <c r="G506" s="388"/>
      <c r="H506" s="389"/>
      <c r="I506" s="388"/>
      <c r="J506" s="391"/>
      <c r="K506" s="392"/>
      <c r="L506" s="392"/>
      <c r="M506" s="392"/>
      <c r="N506" s="388"/>
      <c r="O506" s="388"/>
      <c r="P506" s="392"/>
      <c r="Q506" s="394"/>
      <c r="R506" s="392"/>
      <c r="S506" s="395"/>
      <c r="T506" s="396"/>
      <c r="U506" s="396"/>
      <c r="V506" s="396"/>
      <c r="W506" s="396"/>
      <c r="X506" s="397"/>
      <c r="Y506" s="339"/>
      <c r="Z506" s="339"/>
      <c r="AA506" s="339"/>
    </row>
    <row r="507" spans="1:27" s="303" customFormat="1" ht="14.25">
      <c r="A507" s="384"/>
      <c r="B507" s="384"/>
      <c r="C507" s="384"/>
      <c r="D507" s="384"/>
      <c r="E507" s="384"/>
      <c r="F507" s="384"/>
      <c r="G507" s="387"/>
      <c r="H507" s="549"/>
      <c r="I507" s="387"/>
      <c r="J507" s="550"/>
      <c r="K507" s="551"/>
      <c r="L507" s="551"/>
      <c r="M507" s="551"/>
      <c r="N507" s="387"/>
      <c r="O507" s="387"/>
      <c r="P507" s="551"/>
      <c r="Q507" s="394"/>
      <c r="R507" s="551"/>
      <c r="S507" s="395"/>
      <c r="T507" s="395"/>
      <c r="U507" s="395"/>
      <c r="V507" s="395"/>
      <c r="W507" s="395"/>
      <c r="X507" s="622"/>
      <c r="Y507" s="458"/>
      <c r="Z507" s="458"/>
      <c r="AA507" s="458"/>
    </row>
    <row r="508" spans="1:27" s="303" customFormat="1" ht="14.25">
      <c r="A508" s="384"/>
      <c r="B508" s="384"/>
      <c r="C508" s="384"/>
      <c r="D508" s="384"/>
      <c r="E508" s="384"/>
      <c r="F508" s="384"/>
      <c r="G508" s="388"/>
      <c r="H508" s="389"/>
      <c r="I508" s="388"/>
      <c r="J508" s="391"/>
      <c r="K508" s="392"/>
      <c r="L508" s="392"/>
      <c r="M508" s="392"/>
      <c r="N508" s="388"/>
      <c r="O508" s="388"/>
      <c r="P508" s="392"/>
      <c r="Q508" s="394"/>
      <c r="R508" s="392"/>
      <c r="S508" s="395"/>
      <c r="T508" s="396"/>
      <c r="U508" s="396"/>
      <c r="V508" s="396"/>
      <c r="W508" s="396"/>
      <c r="X508" s="397"/>
      <c r="Y508" s="339"/>
      <c r="Z508" s="339"/>
      <c r="AA508" s="339"/>
    </row>
    <row r="509" spans="1:27" s="303" customFormat="1" ht="14.25">
      <c r="A509" s="384"/>
      <c r="B509" s="384"/>
      <c r="C509" s="384"/>
      <c r="D509" s="384"/>
      <c r="E509" s="384"/>
      <c r="F509" s="384"/>
      <c r="G509" s="387"/>
      <c r="H509" s="549"/>
      <c r="I509" s="387"/>
      <c r="J509" s="550"/>
      <c r="K509" s="551"/>
      <c r="L509" s="551"/>
      <c r="M509" s="551"/>
      <c r="N509" s="387"/>
      <c r="O509" s="387"/>
      <c r="P509" s="551"/>
      <c r="Q509" s="394"/>
      <c r="R509" s="551"/>
      <c r="S509" s="395"/>
      <c r="T509" s="395"/>
      <c r="U509" s="395"/>
      <c r="V509" s="395"/>
      <c r="W509" s="395"/>
      <c r="X509" s="622"/>
      <c r="Y509" s="458"/>
      <c r="Z509" s="458"/>
      <c r="AA509" s="458"/>
    </row>
    <row r="510" spans="1:27" s="303" customFormat="1" ht="14.25">
      <c r="A510" s="384"/>
      <c r="B510" s="384"/>
      <c r="C510" s="384"/>
      <c r="D510" s="384"/>
      <c r="E510" s="384"/>
      <c r="F510" s="384"/>
      <c r="G510" s="388"/>
      <c r="H510" s="389"/>
      <c r="I510" s="388"/>
      <c r="J510" s="391"/>
      <c r="K510" s="392"/>
      <c r="L510" s="392"/>
      <c r="M510" s="392"/>
      <c r="N510" s="388"/>
      <c r="O510" s="388"/>
      <c r="P510" s="392"/>
      <c r="Q510" s="394"/>
      <c r="R510" s="392"/>
      <c r="S510" s="395"/>
      <c r="T510" s="396"/>
      <c r="U510" s="396"/>
      <c r="V510" s="396"/>
      <c r="W510" s="396"/>
      <c r="X510" s="397"/>
      <c r="Y510" s="339"/>
      <c r="Z510" s="339"/>
      <c r="AA510" s="339"/>
    </row>
    <row r="511" spans="1:27" s="303" customFormat="1" ht="14.25">
      <c r="A511" s="384"/>
      <c r="B511" s="384"/>
      <c r="C511" s="384"/>
      <c r="D511" s="384"/>
      <c r="E511" s="384"/>
      <c r="F511" s="384"/>
      <c r="G511" s="387"/>
      <c r="H511" s="549"/>
      <c r="I511" s="387"/>
      <c r="J511" s="550"/>
      <c r="K511" s="551"/>
      <c r="L511" s="551"/>
      <c r="M511" s="551"/>
      <c r="N511" s="387"/>
      <c r="O511" s="387"/>
      <c r="P511" s="551"/>
      <c r="Q511" s="394"/>
      <c r="R511" s="551"/>
      <c r="S511" s="395"/>
      <c r="T511" s="395"/>
      <c r="U511" s="395"/>
      <c r="V511" s="395"/>
      <c r="W511" s="395"/>
      <c r="X511" s="622"/>
      <c r="Y511" s="458"/>
      <c r="Z511" s="458"/>
      <c r="AA511" s="458"/>
    </row>
    <row r="512" spans="1:27" s="303" customFormat="1" ht="14.25">
      <c r="A512" s="384"/>
      <c r="B512" s="384"/>
      <c r="C512" s="384"/>
      <c r="D512" s="384"/>
      <c r="E512" s="384"/>
      <c r="F512" s="384"/>
      <c r="G512" s="388"/>
      <c r="H512" s="389"/>
      <c r="I512" s="388"/>
      <c r="J512" s="391"/>
      <c r="K512" s="392"/>
      <c r="L512" s="392"/>
      <c r="M512" s="392"/>
      <c r="N512" s="388"/>
      <c r="O512" s="388"/>
      <c r="P512" s="392"/>
      <c r="Q512" s="394"/>
      <c r="R512" s="392"/>
      <c r="S512" s="395"/>
      <c r="T512" s="396"/>
      <c r="U512" s="396"/>
      <c r="V512" s="396"/>
      <c r="W512" s="396"/>
      <c r="X512" s="397"/>
      <c r="Y512" s="339"/>
      <c r="Z512" s="339"/>
      <c r="AA512" s="339"/>
    </row>
    <row r="513" spans="1:27" s="303" customFormat="1" ht="14.25">
      <c r="A513" s="384"/>
      <c r="B513" s="384"/>
      <c r="C513" s="384"/>
      <c r="D513" s="384"/>
      <c r="E513" s="384"/>
      <c r="F513" s="384"/>
      <c r="G513" s="387"/>
      <c r="H513" s="549"/>
      <c r="I513" s="387"/>
      <c r="J513" s="550"/>
      <c r="K513" s="551"/>
      <c r="L513" s="551"/>
      <c r="M513" s="551"/>
      <c r="N513" s="387"/>
      <c r="O513" s="387"/>
      <c r="P513" s="551"/>
      <c r="Q513" s="394"/>
      <c r="R513" s="551"/>
      <c r="S513" s="395"/>
      <c r="T513" s="395"/>
      <c r="U513" s="395"/>
      <c r="V513" s="395"/>
      <c r="W513" s="395"/>
      <c r="X513" s="622"/>
      <c r="Y513" s="458"/>
      <c r="Z513" s="458"/>
      <c r="AA513" s="458"/>
    </row>
    <row r="514" spans="1:27" s="303" customFormat="1" ht="14.25">
      <c r="A514" s="384"/>
      <c r="B514" s="384"/>
      <c r="C514" s="384"/>
      <c r="D514" s="384"/>
      <c r="E514" s="384"/>
      <c r="F514" s="384"/>
      <c r="G514" s="388"/>
      <c r="H514" s="389"/>
      <c r="I514" s="388"/>
      <c r="J514" s="391"/>
      <c r="K514" s="392"/>
      <c r="L514" s="392"/>
      <c r="M514" s="392"/>
      <c r="N514" s="388"/>
      <c r="O514" s="388"/>
      <c r="P514" s="392"/>
      <c r="Q514" s="394"/>
      <c r="R514" s="392"/>
      <c r="S514" s="395"/>
      <c r="T514" s="396"/>
      <c r="U514" s="396"/>
      <c r="V514" s="396"/>
      <c r="W514" s="396"/>
      <c r="X514" s="397"/>
      <c r="Y514" s="339"/>
      <c r="Z514" s="339"/>
      <c r="AA514" s="339"/>
    </row>
    <row r="515" spans="1:27" s="303" customFormat="1" ht="14.25">
      <c r="A515" s="384"/>
      <c r="B515" s="384"/>
      <c r="C515" s="384"/>
      <c r="D515" s="384"/>
      <c r="E515" s="384"/>
      <c r="F515" s="384"/>
      <c r="G515" s="387"/>
      <c r="H515" s="549"/>
      <c r="I515" s="387"/>
      <c r="J515" s="550"/>
      <c r="K515" s="551"/>
      <c r="L515" s="551"/>
      <c r="M515" s="551"/>
      <c r="N515" s="387"/>
      <c r="O515" s="387"/>
      <c r="P515" s="551"/>
      <c r="Q515" s="394"/>
      <c r="R515" s="551"/>
      <c r="S515" s="395"/>
      <c r="T515" s="395"/>
      <c r="U515" s="395"/>
      <c r="V515" s="395"/>
      <c r="W515" s="395"/>
      <c r="X515" s="622"/>
      <c r="Y515" s="458"/>
      <c r="Z515" s="458"/>
      <c r="AA515" s="458"/>
    </row>
    <row r="516" spans="1:27" s="303" customFormat="1" ht="14.25">
      <c r="A516" s="384"/>
      <c r="B516" s="384"/>
      <c r="C516" s="384"/>
      <c r="D516" s="384"/>
      <c r="E516" s="384"/>
      <c r="F516" s="384"/>
      <c r="G516" s="388"/>
      <c r="H516" s="389"/>
      <c r="I516" s="388"/>
      <c r="J516" s="391"/>
      <c r="K516" s="392"/>
      <c r="L516" s="392"/>
      <c r="M516" s="392"/>
      <c r="N516" s="388"/>
      <c r="O516" s="388"/>
      <c r="P516" s="392"/>
      <c r="Q516" s="394"/>
      <c r="R516" s="392"/>
      <c r="S516" s="395"/>
      <c r="T516" s="396"/>
      <c r="U516" s="396"/>
      <c r="V516" s="396"/>
      <c r="W516" s="396"/>
      <c r="X516" s="397"/>
      <c r="Y516" s="339"/>
      <c r="Z516" s="339"/>
      <c r="AA516" s="339"/>
    </row>
    <row r="517" spans="1:27" s="303" customFormat="1" ht="14.25">
      <c r="A517" s="384"/>
      <c r="B517" s="384"/>
      <c r="C517" s="384"/>
      <c r="D517" s="384"/>
      <c r="E517" s="384"/>
      <c r="F517" s="384"/>
      <c r="G517" s="387"/>
      <c r="H517" s="549"/>
      <c r="I517" s="387"/>
      <c r="J517" s="550"/>
      <c r="K517" s="551"/>
      <c r="L517" s="551"/>
      <c r="M517" s="551"/>
      <c r="N517" s="387"/>
      <c r="O517" s="387"/>
      <c r="P517" s="551"/>
      <c r="Q517" s="394"/>
      <c r="R517" s="551"/>
      <c r="S517" s="395"/>
      <c r="T517" s="395"/>
      <c r="U517" s="395"/>
      <c r="V517" s="395"/>
      <c r="W517" s="395"/>
      <c r="X517" s="622"/>
      <c r="Y517" s="458"/>
      <c r="Z517" s="458"/>
      <c r="AA517" s="458"/>
    </row>
    <row r="518" spans="1:27" s="303" customFormat="1" ht="14.25">
      <c r="A518" s="384"/>
      <c r="B518" s="384"/>
      <c r="C518" s="384"/>
      <c r="D518" s="384"/>
      <c r="E518" s="384"/>
      <c r="F518" s="384"/>
      <c r="G518" s="388"/>
      <c r="H518" s="389"/>
      <c r="I518" s="388"/>
      <c r="J518" s="391"/>
      <c r="K518" s="392"/>
      <c r="L518" s="392"/>
      <c r="M518" s="392"/>
      <c r="N518" s="388"/>
      <c r="O518" s="388"/>
      <c r="P518" s="392"/>
      <c r="Q518" s="394"/>
      <c r="R518" s="392"/>
      <c r="S518" s="395"/>
      <c r="T518" s="396"/>
      <c r="U518" s="396"/>
      <c r="V518" s="396"/>
      <c r="W518" s="396"/>
      <c r="X518" s="397"/>
      <c r="Y518" s="339"/>
      <c r="Z518" s="339"/>
      <c r="AA518" s="339"/>
    </row>
    <row r="519" spans="1:27" s="303" customFormat="1" ht="14.25">
      <c r="A519" s="384"/>
      <c r="B519" s="384"/>
      <c r="C519" s="384"/>
      <c r="D519" s="384"/>
      <c r="E519" s="384"/>
      <c r="F519" s="384"/>
      <c r="G519" s="387"/>
      <c r="H519" s="549"/>
      <c r="I519" s="387"/>
      <c r="J519" s="550"/>
      <c r="K519" s="551"/>
      <c r="L519" s="551"/>
      <c r="M519" s="551"/>
      <c r="N519" s="387"/>
      <c r="O519" s="387"/>
      <c r="P519" s="551"/>
      <c r="Q519" s="394"/>
      <c r="R519" s="551"/>
      <c r="S519" s="395"/>
      <c r="T519" s="395"/>
      <c r="U519" s="395"/>
      <c r="V519" s="395"/>
      <c r="W519" s="395"/>
      <c r="X519" s="622"/>
      <c r="Y519" s="458"/>
      <c r="Z519" s="458"/>
      <c r="AA519" s="458"/>
    </row>
    <row r="520" spans="1:27" s="303" customFormat="1" ht="14.25">
      <c r="A520" s="384"/>
      <c r="B520" s="384"/>
      <c r="C520" s="384"/>
      <c r="D520" s="384"/>
      <c r="E520" s="384"/>
      <c r="F520" s="384"/>
      <c r="G520" s="388"/>
      <c r="H520" s="389"/>
      <c r="I520" s="388"/>
      <c r="J520" s="391"/>
      <c r="K520" s="392"/>
      <c r="L520" s="392"/>
      <c r="M520" s="392"/>
      <c r="N520" s="388"/>
      <c r="O520" s="388"/>
      <c r="P520" s="392"/>
      <c r="Q520" s="394"/>
      <c r="R520" s="392"/>
      <c r="S520" s="395"/>
      <c r="T520" s="396"/>
      <c r="U520" s="396"/>
      <c r="V520" s="396"/>
      <c r="W520" s="396"/>
      <c r="X520" s="397"/>
      <c r="Y520" s="339"/>
      <c r="Z520" s="339"/>
      <c r="AA520" s="339"/>
    </row>
    <row r="521" spans="1:27" s="303" customFormat="1" ht="14.25">
      <c r="A521" s="384"/>
      <c r="B521" s="384"/>
      <c r="C521" s="384"/>
      <c r="D521" s="384"/>
      <c r="E521" s="384"/>
      <c r="F521" s="384"/>
      <c r="G521" s="387"/>
      <c r="H521" s="549"/>
      <c r="I521" s="387"/>
      <c r="J521" s="550"/>
      <c r="K521" s="551"/>
      <c r="L521" s="551"/>
      <c r="M521" s="551"/>
      <c r="N521" s="387"/>
      <c r="O521" s="387"/>
      <c r="P521" s="551"/>
      <c r="Q521" s="394"/>
      <c r="R521" s="551"/>
      <c r="S521" s="395"/>
      <c r="T521" s="395"/>
      <c r="U521" s="395"/>
      <c r="V521" s="395"/>
      <c r="W521" s="395"/>
      <c r="X521" s="622"/>
      <c r="Y521" s="458"/>
      <c r="Z521" s="458"/>
      <c r="AA521" s="458"/>
    </row>
    <row r="522" spans="1:27" s="303" customFormat="1" ht="14.25">
      <c r="A522" s="384"/>
      <c r="B522" s="384"/>
      <c r="C522" s="384"/>
      <c r="D522" s="384"/>
      <c r="E522" s="384"/>
      <c r="F522" s="384"/>
      <c r="G522" s="388"/>
      <c r="H522" s="389"/>
      <c r="I522" s="388"/>
      <c r="J522" s="391"/>
      <c r="K522" s="392"/>
      <c r="L522" s="392"/>
      <c r="M522" s="392"/>
      <c r="N522" s="388"/>
      <c r="O522" s="388"/>
      <c r="P522" s="392"/>
      <c r="Q522" s="394"/>
      <c r="R522" s="392"/>
      <c r="S522" s="395"/>
      <c r="T522" s="396"/>
      <c r="U522" s="396"/>
      <c r="V522" s="396"/>
      <c r="W522" s="396"/>
      <c r="X522" s="397"/>
      <c r="Y522" s="339"/>
      <c r="Z522" s="339"/>
      <c r="AA522" s="339"/>
    </row>
    <row r="523" spans="1:27" s="303" customFormat="1" ht="14.25">
      <c r="A523" s="384"/>
      <c r="B523" s="384"/>
      <c r="C523" s="384"/>
      <c r="D523" s="384"/>
      <c r="E523" s="384"/>
      <c r="F523" s="384"/>
      <c r="G523" s="387"/>
      <c r="H523" s="549"/>
      <c r="I523" s="387"/>
      <c r="J523" s="550"/>
      <c r="K523" s="551"/>
      <c r="L523" s="551"/>
      <c r="M523" s="551"/>
      <c r="N523" s="387"/>
      <c r="O523" s="387"/>
      <c r="P523" s="551"/>
      <c r="Q523" s="394"/>
      <c r="R523" s="551"/>
      <c r="S523" s="395"/>
      <c r="T523" s="395"/>
      <c r="U523" s="395"/>
      <c r="V523" s="395"/>
      <c r="W523" s="395"/>
      <c r="X523" s="622"/>
      <c r="Y523" s="458"/>
      <c r="Z523" s="458"/>
      <c r="AA523" s="458"/>
    </row>
    <row r="524" spans="1:27" s="303" customFormat="1" ht="14.25">
      <c r="A524" s="384"/>
      <c r="B524" s="384"/>
      <c r="C524" s="384"/>
      <c r="D524" s="384"/>
      <c r="E524" s="384"/>
      <c r="F524" s="384"/>
      <c r="G524" s="388"/>
      <c r="H524" s="389"/>
      <c r="I524" s="388"/>
      <c r="J524" s="391"/>
      <c r="K524" s="392"/>
      <c r="L524" s="392"/>
      <c r="M524" s="392"/>
      <c r="N524" s="388"/>
      <c r="O524" s="388"/>
      <c r="P524" s="392"/>
      <c r="Q524" s="394"/>
      <c r="R524" s="392"/>
      <c r="S524" s="395"/>
      <c r="T524" s="396"/>
      <c r="U524" s="396"/>
      <c r="V524" s="396"/>
      <c r="W524" s="396"/>
      <c r="X524" s="397"/>
      <c r="Y524" s="339"/>
      <c r="Z524" s="339"/>
      <c r="AA524" s="339"/>
    </row>
    <row r="525" spans="1:27" s="303" customFormat="1" ht="14.25">
      <c r="A525" s="384"/>
      <c r="B525" s="384"/>
      <c r="C525" s="384"/>
      <c r="D525" s="384"/>
      <c r="E525" s="384"/>
      <c r="F525" s="384"/>
      <c r="G525" s="387"/>
      <c r="H525" s="549"/>
      <c r="I525" s="387"/>
      <c r="J525" s="550"/>
      <c r="K525" s="551"/>
      <c r="L525" s="551"/>
      <c r="M525" s="551"/>
      <c r="N525" s="387"/>
      <c r="O525" s="387"/>
      <c r="P525" s="551"/>
      <c r="Q525" s="394"/>
      <c r="R525" s="551"/>
      <c r="S525" s="395"/>
      <c r="T525" s="395"/>
      <c r="U525" s="395"/>
      <c r="V525" s="395"/>
      <c r="W525" s="395"/>
      <c r="X525" s="622"/>
      <c r="Y525" s="458"/>
      <c r="Z525" s="458"/>
      <c r="AA525" s="458"/>
    </row>
    <row r="526" spans="1:27" s="303" customFormat="1" ht="14.25">
      <c r="A526" s="384"/>
      <c r="B526" s="384"/>
      <c r="C526" s="384"/>
      <c r="D526" s="384"/>
      <c r="E526" s="384"/>
      <c r="F526" s="384"/>
      <c r="G526" s="388"/>
      <c r="H526" s="389"/>
      <c r="I526" s="388"/>
      <c r="J526" s="391"/>
      <c r="K526" s="392"/>
      <c r="L526" s="392"/>
      <c r="M526" s="392"/>
      <c r="N526" s="388"/>
      <c r="O526" s="388"/>
      <c r="P526" s="392"/>
      <c r="Q526" s="394"/>
      <c r="R526" s="392"/>
      <c r="S526" s="395"/>
      <c r="T526" s="396"/>
      <c r="U526" s="396"/>
      <c r="V526" s="396"/>
      <c r="W526" s="396"/>
      <c r="X526" s="397"/>
      <c r="Y526" s="339"/>
      <c r="Z526" s="339"/>
      <c r="AA526" s="339"/>
    </row>
    <row r="527" spans="1:27" s="303" customFormat="1" ht="14.25">
      <c r="A527" s="384"/>
      <c r="B527" s="384"/>
      <c r="C527" s="384"/>
      <c r="D527" s="384"/>
      <c r="E527" s="384"/>
      <c r="F527" s="384"/>
      <c r="G527" s="387"/>
      <c r="H527" s="549"/>
      <c r="I527" s="387"/>
      <c r="J527" s="550"/>
      <c r="K527" s="551"/>
      <c r="L527" s="551"/>
      <c r="M527" s="551"/>
      <c r="N527" s="387"/>
      <c r="O527" s="387"/>
      <c r="P527" s="551"/>
      <c r="Q527" s="394"/>
      <c r="R527" s="551"/>
      <c r="S527" s="395"/>
      <c r="T527" s="395"/>
      <c r="U527" s="395"/>
      <c r="V527" s="395"/>
      <c r="W527" s="395"/>
      <c r="X527" s="622"/>
      <c r="Y527" s="458"/>
      <c r="Z527" s="458"/>
      <c r="AA527" s="458"/>
    </row>
    <row r="528" spans="1:27" s="303" customFormat="1" ht="14.25">
      <c r="A528" s="384"/>
      <c r="B528" s="384"/>
      <c r="C528" s="384"/>
      <c r="D528" s="384"/>
      <c r="E528" s="384"/>
      <c r="F528" s="384"/>
      <c r="G528" s="388"/>
      <c r="H528" s="389"/>
      <c r="I528" s="388"/>
      <c r="J528" s="391"/>
      <c r="K528" s="392"/>
      <c r="L528" s="392"/>
      <c r="M528" s="392"/>
      <c r="N528" s="388"/>
      <c r="O528" s="388"/>
      <c r="P528" s="392"/>
      <c r="Q528" s="394"/>
      <c r="R528" s="392"/>
      <c r="S528" s="395"/>
      <c r="T528" s="396"/>
      <c r="U528" s="396"/>
      <c r="V528" s="396"/>
      <c r="W528" s="396"/>
      <c r="X528" s="397"/>
      <c r="Y528" s="339"/>
      <c r="Z528" s="339"/>
      <c r="AA528" s="339"/>
    </row>
    <row r="529" spans="1:27" s="303" customFormat="1" ht="14.25">
      <c r="A529" s="384"/>
      <c r="B529" s="384"/>
      <c r="C529" s="384"/>
      <c r="D529" s="384"/>
      <c r="E529" s="384"/>
      <c r="F529" s="384"/>
      <c r="G529" s="387"/>
      <c r="H529" s="549"/>
      <c r="I529" s="387"/>
      <c r="J529" s="550"/>
      <c r="K529" s="551"/>
      <c r="L529" s="551"/>
      <c r="M529" s="551"/>
      <c r="N529" s="387"/>
      <c r="O529" s="387"/>
      <c r="P529" s="551"/>
      <c r="Q529" s="394"/>
      <c r="R529" s="551"/>
      <c r="S529" s="395"/>
      <c r="T529" s="395"/>
      <c r="U529" s="395"/>
      <c r="V529" s="395"/>
      <c r="W529" s="395"/>
      <c r="X529" s="622"/>
      <c r="Y529" s="458"/>
      <c r="Z529" s="458"/>
      <c r="AA529" s="458"/>
    </row>
    <row r="530" spans="1:27" s="303" customFormat="1" ht="14.25">
      <c r="A530" s="384"/>
      <c r="B530" s="384"/>
      <c r="C530" s="384"/>
      <c r="D530" s="384"/>
      <c r="E530" s="384"/>
      <c r="F530" s="384"/>
      <c r="G530" s="388"/>
      <c r="H530" s="389"/>
      <c r="I530" s="388"/>
      <c r="J530" s="391"/>
      <c r="K530" s="392"/>
      <c r="L530" s="392"/>
      <c r="M530" s="392"/>
      <c r="N530" s="388"/>
      <c r="O530" s="388"/>
      <c r="P530" s="392"/>
      <c r="Q530" s="394"/>
      <c r="R530" s="392"/>
      <c r="S530" s="395"/>
      <c r="T530" s="396"/>
      <c r="U530" s="396"/>
      <c r="V530" s="396"/>
      <c r="W530" s="396"/>
      <c r="X530" s="397"/>
      <c r="Y530" s="339"/>
      <c r="Z530" s="339"/>
      <c r="AA530" s="339"/>
    </row>
    <row r="531" spans="1:27" s="303" customFormat="1" ht="14.25">
      <c r="A531" s="384"/>
      <c r="B531" s="384"/>
      <c r="C531" s="384"/>
      <c r="D531" s="384"/>
      <c r="E531" s="384"/>
      <c r="F531" s="384"/>
      <c r="G531" s="387"/>
      <c r="H531" s="549"/>
      <c r="I531" s="387"/>
      <c r="J531" s="550"/>
      <c r="K531" s="551"/>
      <c r="L531" s="551"/>
      <c r="M531" s="551"/>
      <c r="N531" s="387"/>
      <c r="O531" s="387"/>
      <c r="P531" s="551"/>
      <c r="Q531" s="394"/>
      <c r="R531" s="551"/>
      <c r="S531" s="395"/>
      <c r="T531" s="395"/>
      <c r="U531" s="395"/>
      <c r="V531" s="395"/>
      <c r="W531" s="395"/>
      <c r="X531" s="622"/>
      <c r="Y531" s="458"/>
      <c r="Z531" s="458"/>
      <c r="AA531" s="458"/>
    </row>
    <row r="532" spans="1:27" s="303" customFormat="1" ht="14.25">
      <c r="A532" s="384"/>
      <c r="B532" s="384"/>
      <c r="C532" s="384"/>
      <c r="D532" s="384"/>
      <c r="E532" s="384"/>
      <c r="F532" s="384"/>
      <c r="G532" s="388"/>
      <c r="H532" s="389"/>
      <c r="I532" s="388"/>
      <c r="J532" s="391"/>
      <c r="K532" s="392"/>
      <c r="L532" s="392"/>
      <c r="M532" s="392"/>
      <c r="N532" s="388"/>
      <c r="O532" s="388"/>
      <c r="P532" s="392"/>
      <c r="Q532" s="394"/>
      <c r="R532" s="392"/>
      <c r="S532" s="395"/>
      <c r="T532" s="396"/>
      <c r="U532" s="396"/>
      <c r="V532" s="396"/>
      <c r="W532" s="396"/>
      <c r="X532" s="397"/>
      <c r="Y532" s="339"/>
      <c r="Z532" s="339"/>
      <c r="AA532" s="339"/>
    </row>
    <row r="533" spans="1:27" s="303" customFormat="1" ht="14.25">
      <c r="A533" s="384"/>
      <c r="B533" s="384"/>
      <c r="C533" s="384"/>
      <c r="D533" s="384"/>
      <c r="E533" s="384"/>
      <c r="F533" s="384"/>
      <c r="G533" s="387"/>
      <c r="H533" s="549"/>
      <c r="I533" s="387"/>
      <c r="J533" s="550"/>
      <c r="K533" s="551"/>
      <c r="L533" s="551"/>
      <c r="M533" s="551"/>
      <c r="N533" s="387"/>
      <c r="O533" s="387"/>
      <c r="P533" s="551"/>
      <c r="Q533" s="394"/>
      <c r="R533" s="551"/>
      <c r="S533" s="395"/>
      <c r="T533" s="395"/>
      <c r="U533" s="395"/>
      <c r="V533" s="395"/>
      <c r="W533" s="395"/>
      <c r="X533" s="622"/>
      <c r="Y533" s="458"/>
      <c r="Z533" s="458"/>
      <c r="AA533" s="458"/>
    </row>
    <row r="534" spans="1:27" s="303" customFormat="1" ht="14.25">
      <c r="A534" s="384"/>
      <c r="B534" s="384"/>
      <c r="C534" s="384"/>
      <c r="D534" s="384"/>
      <c r="E534" s="384"/>
      <c r="F534" s="384"/>
      <c r="G534" s="388"/>
      <c r="H534" s="389"/>
      <c r="I534" s="388"/>
      <c r="J534" s="391"/>
      <c r="K534" s="392"/>
      <c r="L534" s="392"/>
      <c r="M534" s="392"/>
      <c r="N534" s="388"/>
      <c r="O534" s="388"/>
      <c r="P534" s="392"/>
      <c r="Q534" s="394"/>
      <c r="R534" s="392"/>
      <c r="S534" s="395"/>
      <c r="T534" s="396"/>
      <c r="U534" s="396"/>
      <c r="V534" s="396"/>
      <c r="W534" s="396"/>
      <c r="X534" s="397"/>
      <c r="Y534" s="339"/>
      <c r="Z534" s="339"/>
      <c r="AA534" s="339"/>
    </row>
    <row r="535" spans="1:27" s="303" customFormat="1" ht="14.25">
      <c r="A535" s="384"/>
      <c r="B535" s="384"/>
      <c r="C535" s="384"/>
      <c r="D535" s="384"/>
      <c r="E535" s="384"/>
      <c r="F535" s="384"/>
      <c r="G535" s="387"/>
      <c r="H535" s="549"/>
      <c r="I535" s="387"/>
      <c r="J535" s="550"/>
      <c r="K535" s="551"/>
      <c r="L535" s="551"/>
      <c r="M535" s="551"/>
      <c r="N535" s="387"/>
      <c r="O535" s="387"/>
      <c r="P535" s="551"/>
      <c r="Q535" s="394"/>
      <c r="R535" s="551"/>
      <c r="S535" s="395"/>
      <c r="T535" s="395"/>
      <c r="U535" s="395"/>
      <c r="V535" s="395"/>
      <c r="W535" s="395"/>
      <c r="X535" s="622"/>
      <c r="Y535" s="458"/>
      <c r="Z535" s="458"/>
      <c r="AA535" s="458"/>
    </row>
    <row r="536" spans="1:27" s="303" customFormat="1" ht="14.25">
      <c r="A536" s="384"/>
      <c r="B536" s="384"/>
      <c r="C536" s="384"/>
      <c r="D536" s="384"/>
      <c r="E536" s="384"/>
      <c r="F536" s="384"/>
      <c r="G536" s="388"/>
      <c r="H536" s="389"/>
      <c r="I536" s="388"/>
      <c r="J536" s="391"/>
      <c r="K536" s="392"/>
      <c r="L536" s="392"/>
      <c r="M536" s="392"/>
      <c r="N536" s="388"/>
      <c r="O536" s="388"/>
      <c r="P536" s="392"/>
      <c r="Q536" s="394"/>
      <c r="R536" s="392"/>
      <c r="S536" s="395"/>
      <c r="T536" s="396"/>
      <c r="U536" s="396"/>
      <c r="V536" s="396"/>
      <c r="W536" s="396"/>
      <c r="X536" s="397"/>
      <c r="Y536" s="339"/>
      <c r="Z536" s="339"/>
      <c r="AA536" s="339"/>
    </row>
    <row r="537" spans="1:27" s="303" customFormat="1" ht="14.25">
      <c r="A537" s="384"/>
      <c r="B537" s="384"/>
      <c r="C537" s="384"/>
      <c r="D537" s="384"/>
      <c r="E537" s="384"/>
      <c r="F537" s="384"/>
      <c r="G537" s="387"/>
      <c r="H537" s="549"/>
      <c r="I537" s="387"/>
      <c r="J537" s="550"/>
      <c r="K537" s="551"/>
      <c r="L537" s="551"/>
      <c r="M537" s="551"/>
      <c r="N537" s="387"/>
      <c r="O537" s="387"/>
      <c r="P537" s="551"/>
      <c r="Q537" s="394"/>
      <c r="R537" s="551"/>
      <c r="S537" s="395"/>
      <c r="T537" s="395"/>
      <c r="U537" s="395"/>
      <c r="V537" s="395"/>
      <c r="W537" s="395"/>
      <c r="X537" s="622"/>
      <c r="Y537" s="458"/>
      <c r="Z537" s="458"/>
      <c r="AA537" s="458"/>
    </row>
    <row r="538" spans="1:27" s="303" customFormat="1" ht="14.25">
      <c r="A538" s="384"/>
      <c r="B538" s="384"/>
      <c r="C538" s="384"/>
      <c r="D538" s="384"/>
      <c r="E538" s="384"/>
      <c r="F538" s="384"/>
      <c r="G538" s="388"/>
      <c r="H538" s="389"/>
      <c r="I538" s="388"/>
      <c r="J538" s="391"/>
      <c r="K538" s="392"/>
      <c r="L538" s="392"/>
      <c r="M538" s="392"/>
      <c r="N538" s="388"/>
      <c r="O538" s="388"/>
      <c r="P538" s="392"/>
      <c r="Q538" s="394"/>
      <c r="R538" s="392"/>
      <c r="S538" s="395"/>
      <c r="T538" s="396"/>
      <c r="U538" s="396"/>
      <c r="V538" s="396"/>
      <c r="W538" s="396"/>
      <c r="X538" s="397"/>
      <c r="Y538" s="339"/>
      <c r="Z538" s="339"/>
      <c r="AA538" s="339"/>
    </row>
    <row r="539" spans="1:27" s="303" customFormat="1" ht="14.25">
      <c r="A539" s="384"/>
      <c r="B539" s="384"/>
      <c r="C539" s="384"/>
      <c r="D539" s="384"/>
      <c r="E539" s="384"/>
      <c r="F539" s="384"/>
      <c r="G539" s="387"/>
      <c r="H539" s="549"/>
      <c r="I539" s="387"/>
      <c r="J539" s="550"/>
      <c r="K539" s="551"/>
      <c r="L539" s="551"/>
      <c r="M539" s="551"/>
      <c r="N539" s="387"/>
      <c r="O539" s="387"/>
      <c r="P539" s="551"/>
      <c r="Q539" s="394"/>
      <c r="R539" s="551"/>
      <c r="S539" s="395"/>
      <c r="T539" s="395"/>
      <c r="U539" s="395"/>
      <c r="V539" s="395"/>
      <c r="W539" s="395"/>
      <c r="X539" s="622"/>
      <c r="Y539" s="458"/>
      <c r="Z539" s="458"/>
      <c r="AA539" s="458"/>
    </row>
    <row r="540" spans="1:27" s="303" customFormat="1" ht="14.25">
      <c r="A540" s="384"/>
      <c r="B540" s="384"/>
      <c r="C540" s="384"/>
      <c r="D540" s="384"/>
      <c r="E540" s="384"/>
      <c r="F540" s="384"/>
      <c r="G540" s="388"/>
      <c r="H540" s="389"/>
      <c r="I540" s="388"/>
      <c r="J540" s="391"/>
      <c r="K540" s="392"/>
      <c r="L540" s="392"/>
      <c r="M540" s="392"/>
      <c r="N540" s="388"/>
      <c r="O540" s="388"/>
      <c r="P540" s="392"/>
      <c r="Q540" s="394"/>
      <c r="R540" s="392"/>
      <c r="S540" s="395"/>
      <c r="T540" s="396"/>
      <c r="U540" s="396"/>
      <c r="V540" s="396"/>
      <c r="W540" s="396"/>
      <c r="X540" s="397"/>
      <c r="Y540" s="339"/>
      <c r="Z540" s="339"/>
      <c r="AA540" s="339"/>
    </row>
    <row r="541" spans="1:27" s="303" customFormat="1" ht="14.25">
      <c r="A541" s="384"/>
      <c r="B541" s="384"/>
      <c r="C541" s="384"/>
      <c r="D541" s="384"/>
      <c r="E541" s="384"/>
      <c r="F541" s="384"/>
      <c r="G541" s="387"/>
      <c r="H541" s="549"/>
      <c r="I541" s="387"/>
      <c r="J541" s="550"/>
      <c r="K541" s="551"/>
      <c r="L541" s="551"/>
      <c r="M541" s="551"/>
      <c r="N541" s="387"/>
      <c r="O541" s="387"/>
      <c r="P541" s="551"/>
      <c r="Q541" s="394"/>
      <c r="R541" s="551"/>
      <c r="S541" s="395"/>
      <c r="T541" s="395"/>
      <c r="U541" s="395"/>
      <c r="V541" s="395"/>
      <c r="W541" s="395"/>
      <c r="X541" s="622"/>
      <c r="Y541" s="458"/>
      <c r="Z541" s="458"/>
      <c r="AA541" s="458"/>
    </row>
    <row r="542" spans="1:27" s="303" customFormat="1" ht="14.25">
      <c r="A542" s="384"/>
      <c r="B542" s="384"/>
      <c r="C542" s="384"/>
      <c r="D542" s="384"/>
      <c r="E542" s="384"/>
      <c r="F542" s="384"/>
      <c r="G542" s="388"/>
      <c r="H542" s="389"/>
      <c r="I542" s="388"/>
      <c r="J542" s="391"/>
      <c r="K542" s="392"/>
      <c r="L542" s="392"/>
      <c r="M542" s="392"/>
      <c r="N542" s="388"/>
      <c r="O542" s="388"/>
      <c r="P542" s="392"/>
      <c r="Q542" s="394"/>
      <c r="R542" s="392"/>
      <c r="S542" s="395"/>
      <c r="T542" s="396"/>
      <c r="U542" s="396"/>
      <c r="V542" s="396"/>
      <c r="W542" s="396"/>
      <c r="X542" s="397"/>
      <c r="Y542" s="339"/>
      <c r="Z542" s="339"/>
      <c r="AA542" s="339"/>
    </row>
    <row r="543" spans="1:27" s="303" customFormat="1" ht="14.25">
      <c r="A543" s="384"/>
      <c r="B543" s="384"/>
      <c r="C543" s="384"/>
      <c r="D543" s="384"/>
      <c r="E543" s="384"/>
      <c r="F543" s="384"/>
      <c r="G543" s="387"/>
      <c r="H543" s="549"/>
      <c r="I543" s="387"/>
      <c r="J543" s="550"/>
      <c r="K543" s="551"/>
      <c r="L543" s="551"/>
      <c r="M543" s="551"/>
      <c r="N543" s="387"/>
      <c r="O543" s="387"/>
      <c r="P543" s="551"/>
      <c r="Q543" s="394"/>
      <c r="R543" s="551"/>
      <c r="S543" s="395"/>
      <c r="T543" s="395"/>
      <c r="U543" s="395"/>
      <c r="V543" s="395"/>
      <c r="W543" s="395"/>
      <c r="X543" s="622"/>
      <c r="Y543" s="458"/>
      <c r="Z543" s="458"/>
      <c r="AA543" s="458"/>
    </row>
    <row r="544" spans="1:27" s="303" customFormat="1" ht="14.25">
      <c r="A544" s="384"/>
      <c r="B544" s="384"/>
      <c r="C544" s="384"/>
      <c r="D544" s="384"/>
      <c r="E544" s="384"/>
      <c r="F544" s="384"/>
      <c r="G544" s="388"/>
      <c r="H544" s="389"/>
      <c r="I544" s="388"/>
      <c r="J544" s="391"/>
      <c r="K544" s="392"/>
      <c r="L544" s="392"/>
      <c r="M544" s="392"/>
      <c r="N544" s="388"/>
      <c r="O544" s="388"/>
      <c r="P544" s="392"/>
      <c r="Q544" s="394"/>
      <c r="R544" s="392"/>
      <c r="S544" s="395"/>
      <c r="T544" s="396"/>
      <c r="U544" s="396"/>
      <c r="V544" s="396"/>
      <c r="W544" s="396"/>
      <c r="X544" s="397"/>
      <c r="Y544" s="339"/>
      <c r="Z544" s="339"/>
      <c r="AA544" s="339"/>
    </row>
    <row r="545" spans="1:27" s="303" customFormat="1" ht="14.25">
      <c r="A545" s="384"/>
      <c r="B545" s="384"/>
      <c r="C545" s="384"/>
      <c r="D545" s="384"/>
      <c r="E545" s="384"/>
      <c r="F545" s="384"/>
      <c r="G545" s="387"/>
      <c r="H545" s="549"/>
      <c r="I545" s="387"/>
      <c r="J545" s="550"/>
      <c r="K545" s="551"/>
      <c r="L545" s="551"/>
      <c r="M545" s="551"/>
      <c r="N545" s="387"/>
      <c r="O545" s="387"/>
      <c r="P545" s="551"/>
      <c r="Q545" s="394"/>
      <c r="R545" s="551"/>
      <c r="S545" s="395"/>
      <c r="T545" s="395"/>
      <c r="U545" s="395"/>
      <c r="V545" s="395"/>
      <c r="W545" s="395"/>
      <c r="X545" s="622"/>
      <c r="Y545" s="458"/>
      <c r="Z545" s="458"/>
      <c r="AA545" s="458"/>
    </row>
    <row r="546" spans="1:27" s="303" customFormat="1" ht="14.25">
      <c r="A546" s="384"/>
      <c r="B546" s="384"/>
      <c r="C546" s="384"/>
      <c r="D546" s="384"/>
      <c r="E546" s="384"/>
      <c r="F546" s="384"/>
      <c r="G546" s="388"/>
      <c r="H546" s="389"/>
      <c r="I546" s="388"/>
      <c r="J546" s="391"/>
      <c r="K546" s="392"/>
      <c r="L546" s="392"/>
      <c r="M546" s="392"/>
      <c r="N546" s="388"/>
      <c r="O546" s="388"/>
      <c r="P546" s="392"/>
      <c r="Q546" s="394"/>
      <c r="R546" s="392"/>
      <c r="S546" s="395"/>
      <c r="T546" s="396"/>
      <c r="U546" s="396"/>
      <c r="V546" s="396"/>
      <c r="W546" s="396"/>
      <c r="X546" s="397"/>
      <c r="Y546" s="339"/>
      <c r="Z546" s="339"/>
      <c r="AA546" s="339"/>
    </row>
    <row r="547" spans="1:27" s="303" customFormat="1" ht="14.25">
      <c r="A547" s="384"/>
      <c r="B547" s="384"/>
      <c r="C547" s="384"/>
      <c r="D547" s="384"/>
      <c r="E547" s="384"/>
      <c r="F547" s="384"/>
      <c r="G547" s="387"/>
      <c r="H547" s="549"/>
      <c r="I547" s="387"/>
      <c r="J547" s="550"/>
      <c r="K547" s="551"/>
      <c r="L547" s="551"/>
      <c r="M547" s="551"/>
      <c r="N547" s="387"/>
      <c r="O547" s="387"/>
      <c r="P547" s="551"/>
      <c r="Q547" s="394"/>
      <c r="R547" s="551"/>
      <c r="S547" s="395"/>
      <c r="T547" s="395"/>
      <c r="U547" s="395"/>
      <c r="V547" s="395"/>
      <c r="W547" s="395"/>
      <c r="X547" s="622"/>
      <c r="Y547" s="458"/>
      <c r="Z547" s="458"/>
      <c r="AA547" s="458"/>
    </row>
    <row r="548" spans="1:27" s="303" customFormat="1" ht="14.25">
      <c r="A548" s="384"/>
      <c r="B548" s="384"/>
      <c r="C548" s="384"/>
      <c r="D548" s="384"/>
      <c r="E548" s="384"/>
      <c r="F548" s="384"/>
      <c r="G548" s="388"/>
      <c r="H548" s="389"/>
      <c r="I548" s="388"/>
      <c r="J548" s="391"/>
      <c r="K548" s="392"/>
      <c r="L548" s="392"/>
      <c r="M548" s="392"/>
      <c r="N548" s="388"/>
      <c r="O548" s="388"/>
      <c r="P548" s="392"/>
      <c r="Q548" s="394"/>
      <c r="R548" s="392"/>
      <c r="S548" s="395"/>
      <c r="T548" s="396"/>
      <c r="U548" s="396"/>
      <c r="V548" s="396"/>
      <c r="W548" s="396"/>
      <c r="X548" s="397"/>
      <c r="Y548" s="339"/>
      <c r="Z548" s="339"/>
      <c r="AA548" s="339"/>
    </row>
    <row r="549" spans="1:27" s="303" customFormat="1" ht="14.25">
      <c r="A549" s="384"/>
      <c r="B549" s="384"/>
      <c r="C549" s="384"/>
      <c r="D549" s="384"/>
      <c r="E549" s="384"/>
      <c r="F549" s="384"/>
      <c r="G549" s="387"/>
      <c r="H549" s="549"/>
      <c r="I549" s="387"/>
      <c r="J549" s="550"/>
      <c r="K549" s="551"/>
      <c r="L549" s="551"/>
      <c r="M549" s="551"/>
      <c r="N549" s="387"/>
      <c r="O549" s="387"/>
      <c r="P549" s="551"/>
      <c r="Q549" s="394"/>
      <c r="R549" s="551"/>
      <c r="S549" s="395"/>
      <c r="T549" s="395"/>
      <c r="U549" s="395"/>
      <c r="V549" s="395"/>
      <c r="W549" s="395"/>
      <c r="X549" s="622"/>
      <c r="Y549" s="458"/>
      <c r="Z549" s="458"/>
      <c r="AA549" s="458"/>
    </row>
    <row r="550" spans="1:27" s="303" customFormat="1" ht="14.25">
      <c r="A550" s="384"/>
      <c r="B550" s="384"/>
      <c r="C550" s="384"/>
      <c r="D550" s="384"/>
      <c r="E550" s="384"/>
      <c r="F550" s="384"/>
      <c r="G550" s="388"/>
      <c r="H550" s="389"/>
      <c r="I550" s="388"/>
      <c r="J550" s="391"/>
      <c r="K550" s="392"/>
      <c r="L550" s="392"/>
      <c r="M550" s="392"/>
      <c r="N550" s="388"/>
      <c r="O550" s="388"/>
      <c r="P550" s="392"/>
      <c r="Q550" s="394"/>
      <c r="R550" s="392"/>
      <c r="S550" s="395"/>
      <c r="T550" s="396"/>
      <c r="U550" s="396"/>
      <c r="V550" s="396"/>
      <c r="W550" s="396"/>
      <c r="X550" s="397"/>
      <c r="Y550" s="339"/>
      <c r="Z550" s="339"/>
      <c r="AA550" s="339"/>
    </row>
    <row r="551" spans="1:27" s="303" customFormat="1" ht="14.25">
      <c r="A551" s="384"/>
      <c r="B551" s="384"/>
      <c r="C551" s="384"/>
      <c r="D551" s="384"/>
      <c r="E551" s="384"/>
      <c r="F551" s="384"/>
      <c r="G551" s="387"/>
      <c r="H551" s="549"/>
      <c r="I551" s="387"/>
      <c r="J551" s="550"/>
      <c r="K551" s="551"/>
      <c r="L551" s="551"/>
      <c r="M551" s="551"/>
      <c r="N551" s="387"/>
      <c r="O551" s="387"/>
      <c r="P551" s="551"/>
      <c r="Q551" s="394"/>
      <c r="R551" s="551"/>
      <c r="S551" s="395"/>
      <c r="T551" s="395"/>
      <c r="U551" s="395"/>
      <c r="V551" s="395"/>
      <c r="W551" s="395"/>
      <c r="X551" s="622"/>
      <c r="Y551" s="458"/>
      <c r="Z551" s="458"/>
      <c r="AA551" s="458"/>
    </row>
    <row r="552" spans="1:27" s="303" customFormat="1" ht="14.25">
      <c r="A552" s="384"/>
      <c r="B552" s="384"/>
      <c r="C552" s="384"/>
      <c r="D552" s="384"/>
      <c r="E552" s="384"/>
      <c r="F552" s="384"/>
      <c r="G552" s="388"/>
      <c r="H552" s="389"/>
      <c r="I552" s="388"/>
      <c r="J552" s="391"/>
      <c r="K552" s="392"/>
      <c r="L552" s="392"/>
      <c r="M552" s="392"/>
      <c r="N552" s="388"/>
      <c r="O552" s="388"/>
      <c r="P552" s="392"/>
      <c r="Q552" s="394"/>
      <c r="R552" s="392"/>
      <c r="S552" s="395"/>
      <c r="T552" s="396"/>
      <c r="U552" s="396"/>
      <c r="V552" s="396"/>
      <c r="W552" s="396"/>
      <c r="X552" s="397"/>
      <c r="Y552" s="339"/>
      <c r="Z552" s="339"/>
      <c r="AA552" s="339"/>
    </row>
    <row r="553" spans="1:27" s="303" customFormat="1" ht="15">
      <c r="A553" s="383"/>
      <c r="B553" s="384"/>
      <c r="C553" s="385"/>
      <c r="D553" s="386"/>
      <c r="E553" s="388" t="s">
        <v>1689</v>
      </c>
      <c r="F553" s="388"/>
      <c r="G553" s="387"/>
      <c r="H553" s="549"/>
      <c r="I553" s="387"/>
      <c r="J553" s="550"/>
      <c r="K553" s="551"/>
      <c r="L553" s="551"/>
      <c r="M553" s="551"/>
      <c r="N553" s="387"/>
      <c r="O553" s="387"/>
      <c r="P553" s="551"/>
      <c r="Q553" s="394"/>
      <c r="R553" s="551"/>
      <c r="S553" s="395"/>
      <c r="T553" s="395"/>
      <c r="U553" s="395"/>
      <c r="V553" s="395"/>
      <c r="W553" s="395"/>
      <c r="X553" s="622"/>
      <c r="Y553" s="458"/>
      <c r="Z553" s="458"/>
      <c r="AA553" s="458"/>
    </row>
    <row r="554" spans="1:27" s="303" customFormat="1" ht="15">
      <c r="A554" s="383"/>
      <c r="B554" s="384"/>
      <c r="C554" s="600"/>
      <c r="D554" s="386"/>
      <c r="E554" s="601"/>
      <c r="F554" s="601"/>
      <c r="G554" s="388"/>
      <c r="H554" s="389"/>
      <c r="I554" s="388"/>
      <c r="J554" s="391"/>
      <c r="K554" s="392"/>
      <c r="L554" s="392"/>
      <c r="M554" s="392"/>
      <c r="N554" s="388"/>
      <c r="O554" s="388"/>
      <c r="P554" s="392"/>
      <c r="Q554" s="394"/>
      <c r="R554" s="392"/>
      <c r="S554" s="395"/>
      <c r="T554" s="396"/>
      <c r="U554" s="396"/>
      <c r="V554" s="396"/>
      <c r="W554" s="396"/>
      <c r="X554" s="397"/>
      <c r="Y554" s="339"/>
      <c r="Z554" s="339"/>
      <c r="AA554" s="339"/>
    </row>
    <row r="555" spans="1:27" s="303" customFormat="1" ht="15">
      <c r="A555" s="383"/>
      <c r="B555" s="384"/>
      <c r="C555" s="600"/>
      <c r="D555" s="386"/>
      <c r="E555" s="602"/>
      <c r="F555" s="602"/>
      <c r="G555" s="387"/>
      <c r="H555" s="549"/>
      <c r="I555" s="387"/>
      <c r="J555" s="550"/>
      <c r="K555" s="551"/>
      <c r="L555" s="551"/>
      <c r="M555" s="551"/>
      <c r="N555" s="387"/>
      <c r="O555" s="387"/>
      <c r="P555" s="551"/>
      <c r="Q555" s="394"/>
      <c r="R555" s="551"/>
      <c r="S555" s="395"/>
      <c r="T555" s="395"/>
      <c r="U555" s="395"/>
      <c r="V555" s="395"/>
      <c r="W555" s="395"/>
      <c r="X555" s="622"/>
      <c r="Y555" s="458"/>
      <c r="Z555" s="458"/>
      <c r="AA555" s="458"/>
    </row>
    <row r="556" spans="1:27" s="303" customFormat="1" ht="15">
      <c r="A556" s="383"/>
      <c r="B556" s="384"/>
      <c r="C556" s="385"/>
      <c r="D556" s="386"/>
      <c r="E556" s="387"/>
      <c r="F556" s="387"/>
      <c r="G556" s="388"/>
      <c r="H556" s="389"/>
      <c r="I556" s="388"/>
      <c r="J556" s="391"/>
      <c r="K556" s="392"/>
      <c r="L556" s="392"/>
      <c r="M556" s="392"/>
      <c r="N556" s="388"/>
      <c r="O556" s="388"/>
      <c r="P556" s="392"/>
      <c r="Q556" s="394"/>
      <c r="R556" s="392"/>
      <c r="S556" s="395"/>
      <c r="T556" s="396"/>
      <c r="U556" s="396"/>
      <c r="V556" s="396"/>
      <c r="W556" s="396"/>
      <c r="X556" s="397"/>
      <c r="Y556" s="339"/>
      <c r="Z556" s="339"/>
      <c r="AA556" s="339"/>
    </row>
    <row r="557" spans="1:27" s="303" customFormat="1" ht="15">
      <c r="A557" s="383"/>
      <c r="B557" s="384"/>
      <c r="C557" s="385"/>
      <c r="D557" s="386"/>
      <c r="E557" s="388"/>
      <c r="F557" s="388"/>
      <c r="G557" s="387"/>
      <c r="H557" s="549"/>
      <c r="I557" s="387"/>
      <c r="J557" s="550"/>
      <c r="K557" s="551"/>
      <c r="L557" s="551"/>
      <c r="M557" s="551"/>
      <c r="N557" s="387"/>
      <c r="O557" s="387"/>
      <c r="P557" s="551"/>
      <c r="Q557" s="394"/>
      <c r="R557" s="551"/>
      <c r="S557" s="395"/>
      <c r="T557" s="395"/>
      <c r="U557" s="395"/>
      <c r="V557" s="395"/>
      <c r="W557" s="395"/>
      <c r="X557" s="622"/>
      <c r="Y557" s="458"/>
      <c r="Z557" s="458"/>
      <c r="AA557" s="458"/>
    </row>
    <row r="558" spans="1:27" s="303" customFormat="1" ht="15">
      <c r="A558" s="383"/>
      <c r="B558" s="384"/>
      <c r="C558" s="385"/>
      <c r="D558" s="386"/>
      <c r="E558" s="387"/>
      <c r="F558" s="387"/>
      <c r="G558" s="388"/>
      <c r="H558" s="389"/>
      <c r="I558" s="388"/>
      <c r="J558" s="391"/>
      <c r="K558" s="392"/>
      <c r="L558" s="392"/>
      <c r="M558" s="392"/>
      <c r="N558" s="388"/>
      <c r="O558" s="388"/>
      <c r="P558" s="392"/>
      <c r="Q558" s="394"/>
      <c r="R558" s="392"/>
      <c r="S558" s="395"/>
      <c r="T558" s="396"/>
      <c r="U558" s="396"/>
      <c r="V558" s="396"/>
      <c r="W558" s="396"/>
      <c r="X558" s="397"/>
      <c r="Y558" s="339"/>
      <c r="Z558" s="339"/>
      <c r="AA558" s="339"/>
    </row>
    <row r="559" spans="1:27" s="303" customFormat="1" ht="15">
      <c r="A559" s="383"/>
      <c r="B559" s="384"/>
      <c r="C559" s="385"/>
      <c r="D559" s="386"/>
      <c r="E559" s="388"/>
      <c r="F559" s="388"/>
      <c r="G559" s="387"/>
      <c r="H559" s="549"/>
      <c r="I559" s="387"/>
      <c r="J559" s="550"/>
      <c r="K559" s="551"/>
      <c r="L559" s="551"/>
      <c r="M559" s="551"/>
      <c r="N559" s="387"/>
      <c r="O559" s="387"/>
      <c r="P559" s="551"/>
      <c r="Q559" s="394"/>
      <c r="R559" s="551"/>
      <c r="S559" s="395"/>
      <c r="T559" s="395"/>
      <c r="U559" s="395"/>
      <c r="V559" s="395"/>
      <c r="W559" s="395"/>
      <c r="X559" s="622"/>
      <c r="Y559" s="458"/>
      <c r="Z559" s="458"/>
      <c r="AA559" s="458"/>
    </row>
    <row r="560" spans="1:27" s="303" customFormat="1" ht="15">
      <c r="A560" s="383"/>
      <c r="B560" s="384"/>
      <c r="C560" s="385"/>
      <c r="D560" s="386"/>
      <c r="E560" s="387"/>
      <c r="F560" s="387"/>
      <c r="G560" s="388"/>
      <c r="H560" s="389"/>
      <c r="I560" s="388"/>
      <c r="J560" s="391"/>
      <c r="K560" s="392"/>
      <c r="L560" s="392"/>
      <c r="M560" s="392"/>
      <c r="N560" s="388"/>
      <c r="O560" s="388"/>
      <c r="P560" s="392"/>
      <c r="Q560" s="394"/>
      <c r="R560" s="392"/>
      <c r="S560" s="395"/>
      <c r="T560" s="396"/>
      <c r="U560" s="396"/>
      <c r="V560" s="396"/>
      <c r="W560" s="396"/>
      <c r="X560" s="397"/>
      <c r="Y560" s="339"/>
      <c r="Z560" s="339"/>
      <c r="AA560" s="339"/>
    </row>
    <row r="561" spans="1:27" s="303" customFormat="1" ht="15">
      <c r="A561" s="383"/>
      <c r="B561" s="384"/>
      <c r="C561" s="385"/>
      <c r="D561" s="386"/>
      <c r="E561" s="388"/>
      <c r="F561" s="388"/>
      <c r="G561" s="387"/>
      <c r="H561" s="549"/>
      <c r="I561" s="387"/>
      <c r="J561" s="550"/>
      <c r="K561" s="551"/>
      <c r="L561" s="551"/>
      <c r="M561" s="551"/>
      <c r="N561" s="387"/>
      <c r="O561" s="387"/>
      <c r="P561" s="551"/>
      <c r="Q561" s="394"/>
      <c r="R561" s="551"/>
      <c r="S561" s="395"/>
      <c r="T561" s="395"/>
      <c r="U561" s="395"/>
      <c r="V561" s="395"/>
      <c r="W561" s="395"/>
      <c r="X561" s="622"/>
      <c r="Y561" s="458"/>
      <c r="Z561" s="458"/>
      <c r="AA561" s="458"/>
    </row>
    <row r="562" spans="1:27" s="303" customFormat="1" ht="15">
      <c r="A562" s="383"/>
      <c r="B562" s="384"/>
      <c r="C562" s="385"/>
      <c r="D562" s="386"/>
      <c r="E562" s="387"/>
      <c r="F562" s="387"/>
      <c r="G562" s="388"/>
      <c r="H562" s="389"/>
      <c r="I562" s="388"/>
      <c r="J562" s="391"/>
      <c r="K562" s="392"/>
      <c r="L562" s="392"/>
      <c r="M562" s="392"/>
      <c r="N562" s="388"/>
      <c r="O562" s="388"/>
      <c r="P562" s="392"/>
      <c r="Q562" s="394"/>
      <c r="R562" s="392"/>
      <c r="S562" s="395"/>
      <c r="T562" s="396"/>
      <c r="U562" s="396"/>
      <c r="V562" s="396"/>
      <c r="W562" s="396"/>
      <c r="X562" s="397"/>
      <c r="Y562" s="339"/>
      <c r="Z562" s="339"/>
      <c r="AA562" s="339"/>
    </row>
    <row r="563" spans="1:27" s="303" customFormat="1" ht="15">
      <c r="A563" s="383"/>
      <c r="B563" s="384"/>
      <c r="C563" s="385"/>
      <c r="D563" s="386"/>
      <c r="E563" s="388"/>
      <c r="F563" s="388"/>
      <c r="G563" s="387"/>
      <c r="H563" s="549"/>
      <c r="I563" s="387"/>
      <c r="J563" s="550"/>
      <c r="K563" s="551"/>
      <c r="L563" s="551"/>
      <c r="M563" s="551"/>
      <c r="N563" s="387"/>
      <c r="O563" s="387"/>
      <c r="P563" s="551"/>
      <c r="Q563" s="394"/>
      <c r="R563" s="551"/>
      <c r="S563" s="395"/>
      <c r="T563" s="395"/>
      <c r="U563" s="395"/>
      <c r="V563" s="395"/>
      <c r="W563" s="395"/>
      <c r="X563" s="622"/>
      <c r="Y563" s="458"/>
      <c r="Z563" s="458"/>
      <c r="AA563" s="458"/>
    </row>
    <row r="564" spans="1:27" s="303" customFormat="1" ht="15">
      <c r="A564" s="383"/>
      <c r="B564" s="384"/>
      <c r="C564" s="385"/>
      <c r="D564" s="386"/>
      <c r="E564" s="387"/>
      <c r="F564" s="387"/>
      <c r="G564" s="388"/>
      <c r="H564" s="389"/>
      <c r="I564" s="388"/>
      <c r="J564" s="391"/>
      <c r="K564" s="392"/>
      <c r="L564" s="392"/>
      <c r="M564" s="392"/>
      <c r="N564" s="388"/>
      <c r="O564" s="388"/>
      <c r="P564" s="392"/>
      <c r="Q564" s="394"/>
      <c r="R564" s="392"/>
      <c r="S564" s="395"/>
      <c r="T564" s="396"/>
      <c r="U564" s="396"/>
      <c r="V564" s="396"/>
      <c r="W564" s="396"/>
      <c r="X564" s="397"/>
      <c r="Y564" s="339"/>
      <c r="Z564" s="339"/>
      <c r="AA564" s="339"/>
    </row>
    <row r="565" spans="1:27" s="303" customFormat="1" ht="15">
      <c r="A565" s="383"/>
      <c r="B565" s="384"/>
      <c r="C565" s="385"/>
      <c r="D565" s="386"/>
      <c r="E565" s="388"/>
      <c r="F565" s="388"/>
      <c r="G565" s="387"/>
      <c r="H565" s="549"/>
      <c r="I565" s="387"/>
      <c r="J565" s="550"/>
      <c r="K565" s="551"/>
      <c r="L565" s="551"/>
      <c r="M565" s="551"/>
      <c r="N565" s="387"/>
      <c r="O565" s="387"/>
      <c r="P565" s="551"/>
      <c r="Q565" s="394"/>
      <c r="R565" s="551"/>
      <c r="S565" s="395"/>
      <c r="T565" s="395"/>
      <c r="U565" s="395"/>
      <c r="V565" s="395"/>
      <c r="W565" s="395"/>
      <c r="X565" s="622"/>
      <c r="Y565" s="458"/>
      <c r="Z565" s="458"/>
      <c r="AA565" s="458"/>
    </row>
    <row r="566" spans="1:27" s="303" customFormat="1" ht="15">
      <c r="A566" s="383"/>
      <c r="B566" s="384"/>
      <c r="C566" s="385"/>
      <c r="D566" s="386"/>
      <c r="E566" s="387"/>
      <c r="F566" s="387"/>
      <c r="G566" s="388"/>
      <c r="H566" s="389"/>
      <c r="I566" s="388"/>
      <c r="J566" s="391"/>
      <c r="K566" s="392"/>
      <c r="L566" s="392"/>
      <c r="M566" s="392"/>
      <c r="N566" s="388"/>
      <c r="O566" s="388"/>
      <c r="P566" s="392"/>
      <c r="Q566" s="394"/>
      <c r="R566" s="392"/>
      <c r="S566" s="395"/>
      <c r="T566" s="396"/>
      <c r="U566" s="396"/>
      <c r="V566" s="396"/>
      <c r="W566" s="396"/>
      <c r="X566" s="397"/>
      <c r="Y566" s="339"/>
      <c r="Z566" s="339"/>
      <c r="AA566" s="339"/>
    </row>
    <row r="567" spans="1:27" s="303" customFormat="1" ht="15">
      <c r="A567" s="383"/>
      <c r="B567" s="384"/>
      <c r="C567" s="385"/>
      <c r="D567" s="386"/>
      <c r="E567" s="388"/>
      <c r="F567" s="388"/>
      <c r="G567" s="387"/>
      <c r="H567" s="549"/>
      <c r="I567" s="387"/>
      <c r="J567" s="550"/>
      <c r="K567" s="551"/>
      <c r="L567" s="551"/>
      <c r="M567" s="551"/>
      <c r="N567" s="387"/>
      <c r="O567" s="387"/>
      <c r="P567" s="551"/>
      <c r="Q567" s="394"/>
      <c r="R567" s="551"/>
      <c r="S567" s="395"/>
      <c r="T567" s="395"/>
      <c r="U567" s="395"/>
      <c r="V567" s="395"/>
      <c r="W567" s="395"/>
      <c r="X567" s="622"/>
      <c r="Y567" s="458"/>
      <c r="Z567" s="458"/>
      <c r="AA567" s="458"/>
    </row>
    <row r="568" spans="1:27" s="303" customFormat="1" ht="15">
      <c r="A568" s="383"/>
      <c r="B568" s="384"/>
      <c r="C568" s="385"/>
      <c r="D568" s="386"/>
      <c r="E568" s="387"/>
      <c r="F568" s="387"/>
      <c r="G568" s="388"/>
      <c r="H568" s="389"/>
      <c r="I568" s="388"/>
      <c r="J568" s="391"/>
      <c r="K568" s="392"/>
      <c r="L568" s="392"/>
      <c r="M568" s="392"/>
      <c r="N568" s="388"/>
      <c r="O568" s="388"/>
      <c r="P568" s="392"/>
      <c r="Q568" s="394"/>
      <c r="R568" s="392"/>
      <c r="S568" s="395"/>
      <c r="T568" s="396"/>
      <c r="U568" s="396"/>
      <c r="V568" s="396"/>
      <c r="W568" s="396"/>
      <c r="X568" s="397"/>
      <c r="Y568" s="339"/>
      <c r="Z568" s="339"/>
      <c r="AA568" s="339"/>
    </row>
    <row r="569" spans="1:27" s="303" customFormat="1" ht="15">
      <c r="A569" s="383"/>
      <c r="B569" s="384"/>
      <c r="C569" s="385"/>
      <c r="D569" s="386"/>
      <c r="E569" s="388"/>
      <c r="F569" s="388"/>
      <c r="G569" s="387"/>
      <c r="H569" s="549"/>
      <c r="I569" s="387"/>
      <c r="J569" s="550"/>
      <c r="K569" s="551"/>
      <c r="L569" s="551"/>
      <c r="M569" s="551"/>
      <c r="N569" s="387"/>
      <c r="O569" s="387"/>
      <c r="P569" s="551"/>
      <c r="Q569" s="394"/>
      <c r="R569" s="551"/>
      <c r="S569" s="395"/>
      <c r="T569" s="395"/>
      <c r="U569" s="395"/>
      <c r="V569" s="395"/>
      <c r="W569" s="395"/>
      <c r="X569" s="622"/>
      <c r="Y569" s="458"/>
      <c r="Z569" s="458"/>
      <c r="AA569" s="458"/>
    </row>
    <row r="570" spans="1:27" s="303" customFormat="1" ht="15">
      <c r="A570" s="383"/>
      <c r="B570" s="384"/>
      <c r="C570" s="385"/>
      <c r="D570" s="386"/>
      <c r="E570" s="387"/>
      <c r="F570" s="387"/>
      <c r="G570" s="388"/>
      <c r="H570" s="389"/>
      <c r="I570" s="388"/>
      <c r="J570" s="391"/>
      <c r="K570" s="392"/>
      <c r="L570" s="392"/>
      <c r="M570" s="392"/>
      <c r="N570" s="388"/>
      <c r="O570" s="388"/>
      <c r="P570" s="392"/>
      <c r="Q570" s="394"/>
      <c r="R570" s="392"/>
      <c r="S570" s="395"/>
      <c r="T570" s="396"/>
      <c r="U570" s="396"/>
      <c r="V570" s="396"/>
      <c r="W570" s="396"/>
      <c r="X570" s="397"/>
      <c r="Y570" s="339"/>
      <c r="Z570" s="339"/>
      <c r="AA570" s="339"/>
    </row>
    <row r="571" spans="1:27" s="303" customFormat="1" ht="15">
      <c r="A571" s="383"/>
      <c r="B571" s="384"/>
      <c r="C571" s="385"/>
      <c r="D571" s="386"/>
      <c r="E571" s="388"/>
      <c r="F571" s="388"/>
      <c r="G571" s="387"/>
      <c r="H571" s="549"/>
      <c r="I571" s="387"/>
      <c r="J571" s="550"/>
      <c r="K571" s="551"/>
      <c r="L571" s="551"/>
      <c r="M571" s="551"/>
      <c r="N571" s="387"/>
      <c r="O571" s="387"/>
      <c r="P571" s="551"/>
      <c r="Q571" s="394"/>
      <c r="R571" s="551"/>
      <c r="S571" s="395"/>
      <c r="T571" s="395"/>
      <c r="U571" s="395"/>
      <c r="V571" s="395"/>
      <c r="W571" s="395"/>
      <c r="X571" s="622"/>
      <c r="Y571" s="458"/>
      <c r="Z571" s="458"/>
      <c r="AA571" s="458"/>
    </row>
    <row r="572" spans="1:27" s="303" customFormat="1" ht="15">
      <c r="A572" s="383"/>
      <c r="B572" s="384"/>
      <c r="C572" s="385"/>
      <c r="D572" s="386"/>
      <c r="E572" s="387"/>
      <c r="F572" s="387"/>
      <c r="G572" s="388"/>
      <c r="H572" s="389"/>
      <c r="I572" s="388"/>
      <c r="J572" s="391"/>
      <c r="K572" s="392"/>
      <c r="L572" s="392"/>
      <c r="M572" s="392"/>
      <c r="N572" s="388"/>
      <c r="O572" s="388"/>
      <c r="P572" s="392"/>
      <c r="Q572" s="394"/>
      <c r="R572" s="392"/>
      <c r="S572" s="395"/>
      <c r="T572" s="396"/>
      <c r="U572" s="396"/>
      <c r="V572" s="396"/>
      <c r="W572" s="396"/>
      <c r="X572" s="397"/>
      <c r="Y572" s="339"/>
      <c r="Z572" s="339"/>
      <c r="AA572" s="339"/>
    </row>
    <row r="573" spans="1:27" s="303" customFormat="1" ht="15">
      <c r="A573" s="383"/>
      <c r="B573" s="384"/>
      <c r="C573" s="385"/>
      <c r="D573" s="386"/>
      <c r="E573" s="388"/>
      <c r="F573" s="388"/>
      <c r="G573" s="387"/>
      <c r="H573" s="549"/>
      <c r="I573" s="387"/>
      <c r="J573" s="550"/>
      <c r="K573" s="551"/>
      <c r="L573" s="551"/>
      <c r="M573" s="551"/>
      <c r="N573" s="387"/>
      <c r="O573" s="387"/>
      <c r="P573" s="551"/>
      <c r="Q573" s="394"/>
      <c r="R573" s="551"/>
      <c r="S573" s="395"/>
      <c r="T573" s="395"/>
      <c r="U573" s="395"/>
      <c r="V573" s="395"/>
      <c r="W573" s="395"/>
      <c r="X573" s="622"/>
      <c r="Y573" s="458"/>
      <c r="Z573" s="458"/>
      <c r="AA573" s="458"/>
    </row>
    <row r="574" spans="1:27" s="303" customFormat="1" ht="15">
      <c r="A574" s="383"/>
      <c r="B574" s="394"/>
      <c r="C574" s="385"/>
      <c r="D574" s="386"/>
      <c r="E574" s="387"/>
      <c r="F574" s="387"/>
      <c r="G574" s="388"/>
      <c r="H574" s="389"/>
      <c r="I574" s="388"/>
      <c r="J574" s="391"/>
      <c r="K574" s="392"/>
      <c r="L574" s="392"/>
      <c r="M574" s="392"/>
      <c r="N574" s="388"/>
      <c r="O574" s="388"/>
      <c r="P574" s="392"/>
      <c r="Q574" s="394"/>
      <c r="R574" s="392"/>
      <c r="S574" s="395"/>
      <c r="T574" s="396"/>
      <c r="U574" s="396"/>
      <c r="V574" s="396"/>
      <c r="W574" s="396"/>
      <c r="X574" s="397"/>
      <c r="Y574" s="339"/>
      <c r="Z574" s="339"/>
      <c r="AA574" s="339"/>
    </row>
    <row r="575" spans="1:27" s="303" customFormat="1" ht="15">
      <c r="A575" s="383"/>
      <c r="B575" s="394"/>
      <c r="C575" s="385"/>
      <c r="D575" s="386"/>
      <c r="E575" s="388"/>
      <c r="F575" s="388"/>
      <c r="G575" s="387"/>
      <c r="H575" s="549"/>
      <c r="I575" s="387"/>
      <c r="J575" s="550"/>
      <c r="K575" s="551"/>
      <c r="L575" s="551"/>
      <c r="M575" s="551"/>
      <c r="N575" s="387"/>
      <c r="O575" s="387"/>
      <c r="P575" s="551"/>
      <c r="Q575" s="394"/>
      <c r="R575" s="551"/>
      <c r="S575" s="395"/>
      <c r="T575" s="395"/>
      <c r="U575" s="395"/>
      <c r="V575" s="395"/>
      <c r="W575" s="395"/>
      <c r="X575" s="622"/>
      <c r="Y575" s="458"/>
      <c r="Z575" s="458"/>
      <c r="AA575" s="458"/>
    </row>
    <row r="576" spans="1:27" s="303" customFormat="1" ht="15">
      <c r="A576" s="383"/>
      <c r="B576" s="394"/>
      <c r="C576" s="385"/>
      <c r="D576" s="386"/>
      <c r="E576" s="387"/>
      <c r="F576" s="387"/>
      <c r="G576" s="388"/>
      <c r="H576" s="389"/>
      <c r="I576" s="388"/>
      <c r="J576" s="391"/>
      <c r="K576" s="392"/>
      <c r="L576" s="392"/>
      <c r="M576" s="392"/>
      <c r="N576" s="388"/>
      <c r="O576" s="388"/>
      <c r="P576" s="392"/>
      <c r="Q576" s="394"/>
      <c r="R576" s="392"/>
      <c r="S576" s="395"/>
      <c r="T576" s="396"/>
      <c r="U576" s="396"/>
      <c r="V576" s="396"/>
      <c r="W576" s="396"/>
      <c r="X576" s="397"/>
      <c r="Y576" s="339"/>
      <c r="Z576" s="339"/>
      <c r="AA576" s="339"/>
    </row>
    <row r="577" spans="1:27" s="303" customFormat="1" ht="15">
      <c r="A577" s="383"/>
      <c r="B577" s="394"/>
      <c r="C577" s="385"/>
      <c r="D577" s="386"/>
      <c r="E577" s="388"/>
      <c r="F577" s="388"/>
      <c r="G577" s="387"/>
      <c r="H577" s="549"/>
      <c r="I577" s="387"/>
      <c r="J577" s="550"/>
      <c r="K577" s="551"/>
      <c r="L577" s="551"/>
      <c r="M577" s="551"/>
      <c r="N577" s="387"/>
      <c r="O577" s="387"/>
      <c r="P577" s="551"/>
      <c r="Q577" s="394"/>
      <c r="R577" s="551"/>
      <c r="S577" s="395"/>
      <c r="T577" s="395"/>
      <c r="U577" s="395"/>
      <c r="V577" s="395"/>
      <c r="W577" s="395"/>
      <c r="X577" s="622"/>
      <c r="Y577" s="458"/>
      <c r="Z577" s="458"/>
      <c r="AA577" s="458"/>
    </row>
    <row r="578" spans="1:27" s="303" customFormat="1" ht="15">
      <c r="A578" s="383"/>
      <c r="B578" s="394"/>
      <c r="C578" s="385"/>
      <c r="D578" s="386"/>
      <c r="E578" s="387"/>
      <c r="F578" s="387"/>
      <c r="G578" s="388"/>
      <c r="H578" s="389"/>
      <c r="I578" s="388"/>
      <c r="J578" s="391"/>
      <c r="K578" s="392"/>
      <c r="L578" s="392"/>
      <c r="M578" s="392"/>
      <c r="N578" s="388"/>
      <c r="O578" s="388"/>
      <c r="P578" s="392"/>
      <c r="Q578" s="394"/>
      <c r="R578" s="392"/>
      <c r="S578" s="395"/>
      <c r="T578" s="396"/>
      <c r="U578" s="396"/>
      <c r="V578" s="396"/>
      <c r="W578" s="396"/>
      <c r="X578" s="397"/>
      <c r="Y578" s="339"/>
      <c r="Z578" s="339"/>
      <c r="AA578" s="339"/>
    </row>
    <row r="579" spans="1:27" s="303" customFormat="1" ht="15">
      <c r="A579" s="383"/>
      <c r="B579" s="394"/>
      <c r="C579" s="385"/>
      <c r="D579" s="386"/>
      <c r="E579" s="388"/>
      <c r="F579" s="388"/>
      <c r="G579" s="387"/>
      <c r="H579" s="549"/>
      <c r="I579" s="387"/>
      <c r="J579" s="550"/>
      <c r="K579" s="551"/>
      <c r="L579" s="551"/>
      <c r="M579" s="551"/>
      <c r="N579" s="387"/>
      <c r="O579" s="387"/>
      <c r="P579" s="551"/>
      <c r="Q579" s="394"/>
      <c r="R579" s="551"/>
      <c r="S579" s="395"/>
      <c r="T579" s="395"/>
      <c r="U579" s="395"/>
      <c r="V579" s="395"/>
      <c r="W579" s="395"/>
      <c r="X579" s="622"/>
      <c r="Y579" s="458"/>
      <c r="Z579" s="458"/>
      <c r="AA579" s="458"/>
    </row>
    <row r="580" spans="1:27" s="303" customFormat="1" ht="15">
      <c r="A580" s="383"/>
      <c r="B580" s="504"/>
      <c r="C580" s="385"/>
      <c r="D580" s="386"/>
      <c r="E580" s="387"/>
      <c r="F580" s="387"/>
      <c r="G580" s="388"/>
      <c r="H580" s="389"/>
      <c r="I580" s="388"/>
      <c r="J580" s="391"/>
      <c r="K580" s="392"/>
      <c r="L580" s="392"/>
      <c r="M580" s="392"/>
      <c r="N580" s="388"/>
      <c r="O580" s="388"/>
      <c r="P580" s="392"/>
      <c r="Q580" s="394"/>
      <c r="R580" s="392"/>
      <c r="S580" s="395"/>
      <c r="T580" s="396"/>
      <c r="U580" s="396"/>
      <c r="V580" s="396"/>
      <c r="W580" s="396"/>
      <c r="X580" s="397"/>
      <c r="Y580" s="339"/>
      <c r="Z580" s="339"/>
      <c r="AA580" s="339"/>
    </row>
    <row r="581" spans="1:27" s="303" customFormat="1" ht="15">
      <c r="A581" s="383"/>
      <c r="B581" s="504"/>
      <c r="C581" s="385"/>
      <c r="D581" s="386"/>
      <c r="E581" s="388"/>
      <c r="F581" s="388"/>
      <c r="G581" s="387"/>
      <c r="H581" s="549"/>
      <c r="I581" s="387"/>
      <c r="J581" s="550"/>
      <c r="K581" s="551"/>
      <c r="L581" s="551"/>
      <c r="M581" s="551"/>
      <c r="N581" s="387"/>
      <c r="O581" s="387"/>
      <c r="P581" s="551"/>
      <c r="Q581" s="394"/>
      <c r="R581" s="551"/>
      <c r="S581" s="395"/>
      <c r="T581" s="395"/>
      <c r="U581" s="395"/>
      <c r="V581" s="395"/>
      <c r="W581" s="395"/>
      <c r="X581" s="622"/>
      <c r="Y581" s="458"/>
      <c r="Z581" s="458"/>
      <c r="AA581" s="458"/>
    </row>
    <row r="582" spans="1:27" s="303" customFormat="1" ht="15">
      <c r="A582" s="383"/>
      <c r="B582" s="504"/>
      <c r="C582" s="385"/>
      <c r="D582" s="386"/>
      <c r="E582" s="387"/>
      <c r="F582" s="387"/>
      <c r="G582" s="388"/>
      <c r="H582" s="389"/>
      <c r="I582" s="388"/>
      <c r="J582" s="391"/>
      <c r="K582" s="392"/>
      <c r="L582" s="392"/>
      <c r="M582" s="392"/>
      <c r="N582" s="388"/>
      <c r="O582" s="388"/>
      <c r="P582" s="392"/>
      <c r="Q582" s="394"/>
      <c r="R582" s="392"/>
      <c r="S582" s="395"/>
      <c r="T582" s="396"/>
      <c r="U582" s="396"/>
      <c r="V582" s="396"/>
      <c r="W582" s="396"/>
      <c r="X582" s="397"/>
      <c r="Y582" s="339"/>
      <c r="Z582" s="339"/>
      <c r="AA582" s="339"/>
    </row>
    <row r="583" spans="1:27" s="303" customFormat="1" ht="15">
      <c r="A583" s="383"/>
      <c r="B583" s="504"/>
      <c r="C583" s="385"/>
      <c r="D583" s="386"/>
      <c r="E583" s="388"/>
      <c r="F583" s="388"/>
      <c r="G583" s="387"/>
      <c r="H583" s="549"/>
      <c r="I583" s="387"/>
      <c r="J583" s="550"/>
      <c r="K583" s="551"/>
      <c r="L583" s="551"/>
      <c r="M583" s="551"/>
      <c r="N583" s="387"/>
      <c r="O583" s="387"/>
      <c r="P583" s="551"/>
      <c r="Q583" s="394"/>
      <c r="R583" s="551"/>
      <c r="S583" s="395"/>
      <c r="T583" s="395"/>
      <c r="U583" s="395"/>
      <c r="V583" s="395"/>
      <c r="W583" s="395"/>
      <c r="X583" s="622"/>
      <c r="Y583" s="458"/>
      <c r="Z583" s="458"/>
      <c r="AA583" s="458"/>
    </row>
    <row r="584" spans="1:27" s="303" customFormat="1" ht="15">
      <c r="A584" s="383"/>
      <c r="B584" s="504"/>
      <c r="C584" s="385"/>
      <c r="D584" s="386"/>
      <c r="E584" s="387"/>
      <c r="F584" s="387"/>
      <c r="G584" s="388"/>
      <c r="H584" s="389"/>
      <c r="I584" s="388"/>
      <c r="J584" s="391"/>
      <c r="K584" s="392"/>
      <c r="L584" s="392"/>
      <c r="M584" s="392"/>
      <c r="N584" s="388"/>
      <c r="O584" s="388"/>
      <c r="P584" s="392"/>
      <c r="Q584" s="394"/>
      <c r="R584" s="392"/>
      <c r="S584" s="395"/>
      <c r="T584" s="396"/>
      <c r="U584" s="396"/>
      <c r="V584" s="396"/>
      <c r="W584" s="396"/>
      <c r="X584" s="397"/>
      <c r="Y584" s="339"/>
      <c r="Z584" s="339"/>
      <c r="AA584" s="339"/>
    </row>
    <row r="585" spans="1:27" s="303" customFormat="1" ht="15">
      <c r="A585" s="383"/>
      <c r="B585" s="504"/>
      <c r="C585" s="385"/>
      <c r="D585" s="386"/>
      <c r="E585" s="388"/>
      <c r="F585" s="388"/>
      <c r="G585" s="387"/>
      <c r="H585" s="549"/>
      <c r="I585" s="387"/>
      <c r="J585" s="550"/>
      <c r="K585" s="551"/>
      <c r="L585" s="551"/>
      <c r="M585" s="551"/>
      <c r="N585" s="387"/>
      <c r="O585" s="387"/>
      <c r="P585" s="551"/>
      <c r="Q585" s="394"/>
      <c r="R585" s="551"/>
      <c r="S585" s="395"/>
      <c r="T585" s="395"/>
      <c r="U585" s="395"/>
      <c r="V585" s="395"/>
      <c r="W585" s="395"/>
      <c r="X585" s="622"/>
      <c r="Y585" s="458"/>
      <c r="Z585" s="458"/>
      <c r="AA585" s="458"/>
    </row>
    <row r="586" spans="1:27" s="303" customFormat="1" ht="15">
      <c r="A586" s="383"/>
      <c r="B586" s="504"/>
      <c r="C586" s="385"/>
      <c r="D586" s="386"/>
      <c r="E586" s="387"/>
      <c r="F586" s="387"/>
      <c r="G586" s="388"/>
      <c r="H586" s="389"/>
      <c r="I586" s="388"/>
      <c r="J586" s="391"/>
      <c r="K586" s="392"/>
      <c r="L586" s="392"/>
      <c r="M586" s="392"/>
      <c r="N586" s="388"/>
      <c r="O586" s="388"/>
      <c r="P586" s="392"/>
      <c r="Q586" s="394"/>
      <c r="R586" s="392"/>
      <c r="S586" s="395"/>
      <c r="T586" s="396"/>
      <c r="U586" s="396"/>
      <c r="V586" s="396"/>
      <c r="W586" s="396"/>
      <c r="X586" s="397"/>
      <c r="Y586" s="339"/>
      <c r="Z586" s="339"/>
      <c r="AA586" s="339"/>
    </row>
    <row r="587" spans="1:27" s="303" customFormat="1" ht="15">
      <c r="A587" s="383"/>
      <c r="B587" s="504"/>
      <c r="C587" s="385"/>
      <c r="D587" s="386"/>
      <c r="E587" s="388"/>
      <c r="F587" s="388"/>
      <c r="G587" s="387"/>
      <c r="H587" s="549"/>
      <c r="I587" s="387"/>
      <c r="J587" s="550"/>
      <c r="K587" s="551"/>
      <c r="L587" s="551"/>
      <c r="M587" s="551"/>
      <c r="N587" s="387"/>
      <c r="O587" s="387"/>
      <c r="P587" s="551"/>
      <c r="Q587" s="394"/>
      <c r="R587" s="551"/>
      <c r="S587" s="395"/>
      <c r="T587" s="395"/>
      <c r="U587" s="395"/>
      <c r="V587" s="395"/>
      <c r="W587" s="395"/>
      <c r="X587" s="622"/>
      <c r="Y587" s="458"/>
      <c r="Z587" s="458"/>
      <c r="AA587" s="458"/>
    </row>
    <row r="588" spans="1:27" s="303" customFormat="1" ht="15">
      <c r="A588" s="383"/>
      <c r="B588" s="504"/>
      <c r="C588" s="385"/>
      <c r="D588" s="386"/>
      <c r="E588" s="387"/>
      <c r="F588" s="387"/>
      <c r="G588" s="388"/>
      <c r="H588" s="389"/>
      <c r="I588" s="388"/>
      <c r="J588" s="391"/>
      <c r="K588" s="392"/>
      <c r="L588" s="392"/>
      <c r="M588" s="392"/>
      <c r="N588" s="388"/>
      <c r="O588" s="388"/>
      <c r="P588" s="392"/>
      <c r="Q588" s="394"/>
      <c r="R588" s="392"/>
      <c r="S588" s="395"/>
      <c r="T588" s="396"/>
      <c r="U588" s="396"/>
      <c r="V588" s="396"/>
      <c r="W588" s="396"/>
      <c r="X588" s="397"/>
      <c r="Y588" s="339"/>
      <c r="Z588" s="339"/>
      <c r="AA588" s="339"/>
    </row>
    <row r="589" spans="1:27" s="303" customFormat="1" ht="15">
      <c r="A589" s="383"/>
      <c r="B589" s="504"/>
      <c r="C589" s="385"/>
      <c r="D589" s="386"/>
      <c r="E589" s="388"/>
      <c r="F589" s="388"/>
      <c r="G589" s="387"/>
      <c r="H589" s="549"/>
      <c r="I589" s="387"/>
      <c r="J589" s="550"/>
      <c r="K589" s="551"/>
      <c r="L589" s="551"/>
      <c r="M589" s="551"/>
      <c r="N589" s="387"/>
      <c r="O589" s="387"/>
      <c r="P589" s="551"/>
      <c r="Q589" s="394"/>
      <c r="R589" s="551"/>
      <c r="S589" s="395"/>
      <c r="T589" s="395"/>
      <c r="U589" s="395"/>
      <c r="V589" s="395"/>
      <c r="W589" s="395"/>
      <c r="X589" s="622"/>
      <c r="Y589" s="458"/>
      <c r="Z589" s="458"/>
      <c r="AA589" s="458"/>
    </row>
    <row r="590" spans="1:27" s="303" customFormat="1" ht="15">
      <c r="A590" s="383"/>
      <c r="B590" s="504"/>
      <c r="C590" s="385"/>
      <c r="D590" s="386"/>
      <c r="E590" s="387"/>
      <c r="F590" s="387"/>
      <c r="G590" s="388"/>
      <c r="H590" s="389"/>
      <c r="I590" s="388"/>
      <c r="J590" s="391"/>
      <c r="K590" s="392"/>
      <c r="L590" s="392"/>
      <c r="M590" s="392"/>
      <c r="N590" s="388"/>
      <c r="O590" s="388"/>
      <c r="P590" s="392"/>
      <c r="Q590" s="394"/>
      <c r="R590" s="392"/>
      <c r="S590" s="395"/>
      <c r="T590" s="396"/>
      <c r="U590" s="396"/>
      <c r="V590" s="396"/>
      <c r="W590" s="396"/>
      <c r="X590" s="397"/>
      <c r="Y590" s="339"/>
      <c r="Z590" s="339"/>
      <c r="AA590" s="339"/>
    </row>
    <row r="591" spans="1:27" s="303" customFormat="1" ht="15">
      <c r="A591" s="383"/>
      <c r="B591" s="504"/>
      <c r="C591" s="385"/>
      <c r="D591" s="386"/>
      <c r="E591" s="388"/>
      <c r="F591" s="388"/>
      <c r="G591" s="387"/>
      <c r="H591" s="549"/>
      <c r="I591" s="387"/>
      <c r="J591" s="550"/>
      <c r="K591" s="551"/>
      <c r="L591" s="551"/>
      <c r="M591" s="551"/>
      <c r="N591" s="387"/>
      <c r="O591" s="387"/>
      <c r="P591" s="551"/>
      <c r="Q591" s="394"/>
      <c r="R591" s="551"/>
      <c r="S591" s="395"/>
      <c r="T591" s="395"/>
      <c r="U591" s="395"/>
      <c r="V591" s="395"/>
      <c r="W591" s="395"/>
      <c r="X591" s="622"/>
      <c r="Y591" s="458"/>
      <c r="Z591" s="458"/>
      <c r="AA591" s="458"/>
    </row>
    <row r="592" spans="1:27" s="303" customFormat="1" ht="15">
      <c r="A592" s="383"/>
      <c r="B592" s="504"/>
      <c r="C592" s="385"/>
      <c r="D592" s="386"/>
      <c r="E592" s="387"/>
      <c r="F592" s="387"/>
      <c r="G592" s="388"/>
      <c r="H592" s="389"/>
      <c r="I592" s="388"/>
      <c r="J592" s="391"/>
      <c r="K592" s="392"/>
      <c r="L592" s="392"/>
      <c r="M592" s="392"/>
      <c r="N592" s="388"/>
      <c r="O592" s="388"/>
      <c r="P592" s="392"/>
      <c r="Q592" s="394"/>
      <c r="R592" s="392"/>
      <c r="S592" s="395"/>
      <c r="T592" s="396"/>
      <c r="U592" s="396"/>
      <c r="V592" s="396"/>
      <c r="W592" s="396"/>
      <c r="X592" s="397"/>
      <c r="Y592" s="339"/>
      <c r="Z592" s="339"/>
      <c r="AA592" s="339"/>
    </row>
    <row r="593" spans="1:27" s="303" customFormat="1" ht="15">
      <c r="A593" s="383"/>
      <c r="B593" s="504"/>
      <c r="C593" s="385"/>
      <c r="D593" s="386"/>
      <c r="E593" s="388"/>
      <c r="F593" s="388"/>
      <c r="G593" s="387"/>
      <c r="H593" s="549"/>
      <c r="I593" s="387"/>
      <c r="J593" s="550"/>
      <c r="K593" s="551"/>
      <c r="L593" s="551"/>
      <c r="M593" s="551"/>
      <c r="N593" s="387"/>
      <c r="O593" s="387"/>
      <c r="P593" s="551"/>
      <c r="Q593" s="394"/>
      <c r="R593" s="551"/>
      <c r="S593" s="395"/>
      <c r="T593" s="395"/>
      <c r="U593" s="395"/>
      <c r="V593" s="395"/>
      <c r="W593" s="395"/>
      <c r="X593" s="622"/>
      <c r="Y593" s="458"/>
      <c r="Z593" s="458"/>
      <c r="AA593" s="458"/>
    </row>
    <row r="594" spans="1:27" s="303" customFormat="1" ht="15">
      <c r="A594" s="383"/>
      <c r="B594" s="504"/>
      <c r="C594" s="385"/>
      <c r="D594" s="386"/>
      <c r="E594" s="387"/>
      <c r="F594" s="387"/>
      <c r="G594" s="388"/>
      <c r="H594" s="389"/>
      <c r="I594" s="388"/>
      <c r="J594" s="391"/>
      <c r="K594" s="392"/>
      <c r="L594" s="392"/>
      <c r="M594" s="392"/>
      <c r="N594" s="388"/>
      <c r="O594" s="388"/>
      <c r="P594" s="392"/>
      <c r="Q594" s="394"/>
      <c r="R594" s="392"/>
      <c r="S594" s="395"/>
      <c r="T594" s="396"/>
      <c r="U594" s="396"/>
      <c r="V594" s="396"/>
      <c r="W594" s="396"/>
      <c r="X594" s="397"/>
      <c r="Y594" s="339"/>
      <c r="Z594" s="339"/>
      <c r="AA594" s="339"/>
    </row>
    <row r="595" spans="1:27" s="303" customFormat="1" ht="15">
      <c r="A595" s="383"/>
      <c r="B595" s="504"/>
      <c r="C595" s="385"/>
      <c r="D595" s="386"/>
      <c r="E595" s="388"/>
      <c r="F595" s="388"/>
      <c r="G595" s="387"/>
      <c r="H595" s="549"/>
      <c r="I595" s="387"/>
      <c r="J595" s="550"/>
      <c r="K595" s="551"/>
      <c r="L595" s="551"/>
      <c r="M595" s="551"/>
      <c r="N595" s="387"/>
      <c r="O595" s="387"/>
      <c r="P595" s="551"/>
      <c r="Q595" s="394"/>
      <c r="R595" s="551"/>
      <c r="S595" s="395"/>
      <c r="T595" s="395"/>
      <c r="U595" s="395"/>
      <c r="V595" s="395"/>
      <c r="W595" s="395"/>
      <c r="X595" s="622"/>
      <c r="Y595" s="458"/>
      <c r="Z595" s="458"/>
      <c r="AA595" s="458"/>
    </row>
    <row r="596" spans="1:27" s="303" customFormat="1" ht="15">
      <c r="A596" s="383"/>
      <c r="B596" s="504"/>
      <c r="C596" s="385"/>
      <c r="D596" s="386"/>
      <c r="E596" s="387"/>
      <c r="F596" s="387"/>
      <c r="G596" s="388"/>
      <c r="H596" s="389"/>
      <c r="I596" s="388"/>
      <c r="J596" s="391"/>
      <c r="K596" s="392"/>
      <c r="L596" s="392"/>
      <c r="M596" s="392"/>
      <c r="N596" s="388"/>
      <c r="O596" s="388"/>
      <c r="P596" s="392"/>
      <c r="Q596" s="394"/>
      <c r="R596" s="392"/>
      <c r="S596" s="395"/>
      <c r="T596" s="396"/>
      <c r="U596" s="396"/>
      <c r="V596" s="396"/>
      <c r="W596" s="396"/>
      <c r="X596" s="397"/>
      <c r="Y596" s="339"/>
      <c r="Z596" s="339"/>
      <c r="AA596" s="339"/>
    </row>
    <row r="597" spans="1:27" s="303" customFormat="1" ht="15">
      <c r="A597" s="383"/>
      <c r="B597" s="504"/>
      <c r="C597" s="385"/>
      <c r="D597" s="386"/>
      <c r="E597" s="388"/>
      <c r="F597" s="388"/>
      <c r="G597" s="387"/>
      <c r="H597" s="549"/>
      <c r="I597" s="387"/>
      <c r="J597" s="550"/>
      <c r="K597" s="551"/>
      <c r="L597" s="551"/>
      <c r="M597" s="551"/>
      <c r="N597" s="387"/>
      <c r="O597" s="387"/>
      <c r="P597" s="551"/>
      <c r="Q597" s="394"/>
      <c r="R597" s="551"/>
      <c r="S597" s="395"/>
      <c r="T597" s="395"/>
      <c r="U597" s="395"/>
      <c r="V597" s="395"/>
      <c r="W597" s="395"/>
      <c r="X597" s="622"/>
      <c r="Y597" s="458"/>
      <c r="Z597" s="458"/>
      <c r="AA597" s="458"/>
    </row>
    <row r="598" spans="1:27" s="303" customFormat="1" ht="15">
      <c r="A598" s="383"/>
      <c r="B598" s="504"/>
      <c r="C598" s="385"/>
      <c r="D598" s="386"/>
      <c r="E598" s="387"/>
      <c r="F598" s="387"/>
      <c r="G598" s="388"/>
      <c r="H598" s="389"/>
      <c r="I598" s="388"/>
      <c r="J598" s="391"/>
      <c r="K598" s="392"/>
      <c r="L598" s="392"/>
      <c r="M598" s="392"/>
      <c r="N598" s="388"/>
      <c r="O598" s="388"/>
      <c r="P598" s="392"/>
      <c r="Q598" s="394"/>
      <c r="R598" s="392"/>
      <c r="S598" s="395"/>
      <c r="T598" s="396"/>
      <c r="U598" s="396"/>
      <c r="V598" s="396"/>
      <c r="W598" s="396"/>
      <c r="X598" s="397"/>
      <c r="Y598" s="339"/>
      <c r="Z598" s="339"/>
      <c r="AA598" s="339"/>
    </row>
    <row r="599" spans="1:27" s="303" customFormat="1" ht="15">
      <c r="A599" s="383"/>
      <c r="B599" s="504"/>
      <c r="C599" s="385"/>
      <c r="D599" s="386"/>
      <c r="E599" s="388"/>
      <c r="F599" s="388"/>
      <c r="G599" s="387"/>
      <c r="H599" s="549"/>
      <c r="I599" s="387"/>
      <c r="J599" s="550"/>
      <c r="K599" s="551"/>
      <c r="L599" s="551"/>
      <c r="M599" s="551"/>
      <c r="N599" s="387"/>
      <c r="O599" s="387"/>
      <c r="P599" s="551"/>
      <c r="Q599" s="394"/>
      <c r="R599" s="551"/>
      <c r="S599" s="395"/>
      <c r="T599" s="395"/>
      <c r="U599" s="395"/>
      <c r="V599" s="395"/>
      <c r="W599" s="395"/>
      <c r="X599" s="622"/>
      <c r="Y599" s="458"/>
      <c r="Z599" s="458"/>
      <c r="AA599" s="458"/>
    </row>
    <row r="600" spans="1:27" s="303" customFormat="1" ht="15">
      <c r="A600" s="383"/>
      <c r="B600" s="504"/>
      <c r="C600" s="385"/>
      <c r="D600" s="386"/>
      <c r="E600" s="387"/>
      <c r="F600" s="387"/>
      <c r="G600" s="388"/>
      <c r="H600" s="389"/>
      <c r="I600" s="388"/>
      <c r="J600" s="391"/>
      <c r="K600" s="392"/>
      <c r="L600" s="392"/>
      <c r="M600" s="392"/>
      <c r="N600" s="388"/>
      <c r="O600" s="388"/>
      <c r="P600" s="392"/>
      <c r="Q600" s="394"/>
      <c r="R600" s="392"/>
      <c r="S600" s="395"/>
      <c r="T600" s="396"/>
      <c r="U600" s="396"/>
      <c r="V600" s="396"/>
      <c r="W600" s="396"/>
      <c r="X600" s="397"/>
      <c r="Y600" s="339"/>
      <c r="Z600" s="339"/>
      <c r="AA600" s="339"/>
    </row>
    <row r="601" spans="1:27" s="303" customFormat="1" ht="15">
      <c r="A601" s="383"/>
      <c r="B601" s="504"/>
      <c r="C601" s="385"/>
      <c r="D601" s="386"/>
      <c r="E601" s="388"/>
      <c r="F601" s="388"/>
      <c r="G601" s="387"/>
      <c r="H601" s="549"/>
      <c r="I601" s="387"/>
      <c r="J601" s="550"/>
      <c r="K601" s="551"/>
      <c r="L601" s="551"/>
      <c r="M601" s="551"/>
      <c r="N601" s="387"/>
      <c r="O601" s="387"/>
      <c r="P601" s="551"/>
      <c r="Q601" s="394"/>
      <c r="R601" s="551"/>
      <c r="S601" s="395"/>
      <c r="T601" s="395"/>
      <c r="U601" s="395"/>
      <c r="V601" s="395"/>
      <c r="W601" s="395"/>
      <c r="X601" s="622"/>
      <c r="Y601" s="458"/>
      <c r="Z601" s="458"/>
      <c r="AA601" s="458"/>
    </row>
    <row r="602" spans="1:27" s="303" customFormat="1" ht="15">
      <c r="A602" s="383"/>
      <c r="B602" s="504"/>
      <c r="C602" s="385"/>
      <c r="D602" s="386"/>
      <c r="E602" s="387"/>
      <c r="F602" s="387"/>
      <c r="G602" s="388"/>
      <c r="H602" s="389"/>
      <c r="I602" s="388"/>
      <c r="J602" s="391"/>
      <c r="K602" s="392"/>
      <c r="L602" s="392"/>
      <c r="M602" s="392"/>
      <c r="N602" s="388"/>
      <c r="O602" s="388"/>
      <c r="P602" s="392"/>
      <c r="Q602" s="394"/>
      <c r="R602" s="392"/>
      <c r="S602" s="395"/>
      <c r="T602" s="396"/>
      <c r="U602" s="396"/>
      <c r="V602" s="396"/>
      <c r="W602" s="396"/>
      <c r="X602" s="397"/>
      <c r="Y602" s="339"/>
      <c r="Z602" s="339"/>
      <c r="AA602" s="339"/>
    </row>
    <row r="603" spans="1:27" s="303" customFormat="1" ht="15">
      <c r="A603" s="383"/>
      <c r="B603" s="504"/>
      <c r="C603" s="385"/>
      <c r="D603" s="386"/>
      <c r="E603" s="388"/>
      <c r="F603" s="388"/>
      <c r="G603" s="387"/>
      <c r="H603" s="549"/>
      <c r="I603" s="387"/>
      <c r="J603" s="550"/>
      <c r="K603" s="551"/>
      <c r="L603" s="551"/>
      <c r="M603" s="551"/>
      <c r="N603" s="387"/>
      <c r="O603" s="387"/>
      <c r="P603" s="551"/>
      <c r="Q603" s="394"/>
      <c r="R603" s="551"/>
      <c r="S603" s="395"/>
      <c r="T603" s="395"/>
      <c r="U603" s="395"/>
      <c r="V603" s="395"/>
      <c r="W603" s="395"/>
      <c r="X603" s="622"/>
      <c r="Y603" s="458"/>
      <c r="Z603" s="458"/>
      <c r="AA603" s="458"/>
    </row>
    <row r="604" spans="1:27" s="303" customFormat="1" ht="14.25">
      <c r="A604" s="384"/>
      <c r="B604" s="384"/>
      <c r="C604" s="384"/>
      <c r="D604" s="384"/>
      <c r="E604" s="384"/>
      <c r="F604" s="384"/>
      <c r="G604" s="388"/>
      <c r="H604" s="389"/>
      <c r="I604" s="388"/>
      <c r="J604" s="391"/>
      <c r="K604" s="392"/>
      <c r="L604" s="392"/>
      <c r="M604" s="392"/>
      <c r="N604" s="388"/>
      <c r="O604" s="388"/>
      <c r="P604" s="392"/>
      <c r="Q604" s="394"/>
      <c r="R604" s="392"/>
      <c r="S604" s="395"/>
      <c r="T604" s="396"/>
      <c r="U604" s="396"/>
      <c r="V604" s="396"/>
      <c r="W604" s="396"/>
      <c r="X604" s="397"/>
      <c r="Y604" s="339"/>
      <c r="Z604" s="339"/>
      <c r="AA604" s="339"/>
    </row>
    <row r="605" spans="1:27" s="303" customFormat="1" ht="14.25">
      <c r="A605" s="384"/>
      <c r="B605" s="384"/>
      <c r="C605" s="384"/>
      <c r="D605" s="384"/>
      <c r="E605" s="384"/>
      <c r="F605" s="384"/>
      <c r="G605" s="387"/>
      <c r="H605" s="549"/>
      <c r="I605" s="387"/>
      <c r="J605" s="550"/>
      <c r="K605" s="551"/>
      <c r="L605" s="551"/>
      <c r="M605" s="551"/>
      <c r="N605" s="387"/>
      <c r="O605" s="387"/>
      <c r="P605" s="551"/>
      <c r="Q605" s="394"/>
      <c r="R605" s="551"/>
      <c r="S605" s="395"/>
      <c r="T605" s="395"/>
      <c r="U605" s="395"/>
      <c r="V605" s="395"/>
      <c r="W605" s="395"/>
      <c r="X605" s="622"/>
      <c r="Y605" s="458"/>
      <c r="Z605" s="458"/>
      <c r="AA605" s="458"/>
    </row>
    <row r="606" spans="1:27" s="303" customFormat="1" ht="14.25">
      <c r="A606" s="384"/>
      <c r="B606" s="384"/>
      <c r="C606" s="384"/>
      <c r="D606" s="384"/>
      <c r="E606" s="384"/>
      <c r="F606" s="384"/>
      <c r="G606" s="388"/>
      <c r="H606" s="389"/>
      <c r="I606" s="388"/>
      <c r="J606" s="391"/>
      <c r="K606" s="392"/>
      <c r="L606" s="392"/>
      <c r="M606" s="392"/>
      <c r="N606" s="388"/>
      <c r="O606" s="388"/>
      <c r="P606" s="392"/>
      <c r="Q606" s="394"/>
      <c r="R606" s="392"/>
      <c r="S606" s="395"/>
      <c r="T606" s="396"/>
      <c r="U606" s="396"/>
      <c r="V606" s="396"/>
      <c r="W606" s="396"/>
      <c r="X606" s="397"/>
      <c r="Y606" s="339"/>
      <c r="Z606" s="339"/>
      <c r="AA606" s="339"/>
    </row>
    <row r="607" spans="1:27" s="303" customFormat="1" ht="14.25">
      <c r="A607" s="384"/>
      <c r="B607" s="384"/>
      <c r="C607" s="384"/>
      <c r="D607" s="384"/>
      <c r="E607" s="384"/>
      <c r="F607" s="384"/>
      <c r="G607" s="387"/>
      <c r="H607" s="549"/>
      <c r="I607" s="387"/>
      <c r="J607" s="550"/>
      <c r="K607" s="551"/>
      <c r="L607" s="551"/>
      <c r="M607" s="551"/>
      <c r="N607" s="387"/>
      <c r="O607" s="387"/>
      <c r="P607" s="551"/>
      <c r="Q607" s="394"/>
      <c r="R607" s="551"/>
      <c r="S607" s="395"/>
      <c r="T607" s="395"/>
      <c r="U607" s="395"/>
      <c r="V607" s="395"/>
      <c r="W607" s="395"/>
      <c r="X607" s="622"/>
      <c r="Y607" s="458"/>
      <c r="Z607" s="458"/>
      <c r="AA607" s="458"/>
    </row>
    <row r="608" spans="1:27" s="303" customFormat="1" ht="14.25">
      <c r="A608" s="384"/>
      <c r="B608" s="384"/>
      <c r="C608" s="384"/>
      <c r="D608" s="384"/>
      <c r="E608" s="384"/>
      <c r="F608" s="384"/>
      <c r="G608" s="388"/>
      <c r="H608" s="389"/>
      <c r="I608" s="388"/>
      <c r="J608" s="391"/>
      <c r="K608" s="392"/>
      <c r="L608" s="392"/>
      <c r="M608" s="392"/>
      <c r="N608" s="388"/>
      <c r="O608" s="388"/>
      <c r="P608" s="392"/>
      <c r="Q608" s="394"/>
      <c r="R608" s="392"/>
      <c r="S608" s="395"/>
      <c r="T608" s="396"/>
      <c r="U608" s="396"/>
      <c r="V608" s="396"/>
      <c r="W608" s="396"/>
      <c r="X608" s="397"/>
      <c r="Y608" s="339"/>
      <c r="Z608" s="339"/>
      <c r="AA608" s="339"/>
    </row>
    <row r="609" spans="1:27" s="303" customFormat="1" ht="14.25">
      <c r="A609" s="384"/>
      <c r="B609" s="384"/>
      <c r="C609" s="384"/>
      <c r="D609" s="384"/>
      <c r="E609" s="384"/>
      <c r="F609" s="384"/>
      <c r="G609" s="387"/>
      <c r="H609" s="549"/>
      <c r="I609" s="387"/>
      <c r="J609" s="550"/>
      <c r="K609" s="551"/>
      <c r="L609" s="551"/>
      <c r="M609" s="551"/>
      <c r="N609" s="387"/>
      <c r="O609" s="387"/>
      <c r="P609" s="551"/>
      <c r="Q609" s="394"/>
      <c r="R609" s="551"/>
      <c r="S609" s="395"/>
      <c r="T609" s="395"/>
      <c r="U609" s="395"/>
      <c r="V609" s="395"/>
      <c r="W609" s="395"/>
      <c r="X609" s="622"/>
      <c r="Y609" s="458"/>
      <c r="Z609" s="458"/>
      <c r="AA609" s="458"/>
    </row>
    <row r="610" spans="1:27" s="303" customFormat="1" ht="14.25">
      <c r="A610" s="384"/>
      <c r="B610" s="384"/>
      <c r="C610" s="384"/>
      <c r="D610" s="384"/>
      <c r="E610" s="384"/>
      <c r="F610" s="384"/>
      <c r="G610" s="388"/>
      <c r="H610" s="389"/>
      <c r="I610" s="388"/>
      <c r="J610" s="391"/>
      <c r="K610" s="392"/>
      <c r="L610" s="392"/>
      <c r="M610" s="392"/>
      <c r="N610" s="388"/>
      <c r="O610" s="388"/>
      <c r="P610" s="392"/>
      <c r="Q610" s="394"/>
      <c r="R610" s="392"/>
      <c r="S610" s="395"/>
      <c r="T610" s="396"/>
      <c r="U610" s="396"/>
      <c r="V610" s="396"/>
      <c r="W610" s="396"/>
      <c r="X610" s="397"/>
      <c r="Y610" s="339"/>
      <c r="Z610" s="339"/>
      <c r="AA610" s="339"/>
    </row>
    <row r="611" spans="1:27" s="303" customFormat="1" ht="14.25">
      <c r="A611" s="384"/>
      <c r="B611" s="384"/>
      <c r="C611" s="384"/>
      <c r="D611" s="384"/>
      <c r="E611" s="384"/>
      <c r="F611" s="384"/>
      <c r="G611" s="387"/>
      <c r="H611" s="549"/>
      <c r="I611" s="387"/>
      <c r="J611" s="550"/>
      <c r="K611" s="551"/>
      <c r="L611" s="551"/>
      <c r="M611" s="551"/>
      <c r="N611" s="387"/>
      <c r="O611" s="387"/>
      <c r="P611" s="551"/>
      <c r="Q611" s="394"/>
      <c r="R611" s="551"/>
      <c r="S611" s="395"/>
      <c r="T611" s="395"/>
      <c r="U611" s="395"/>
      <c r="V611" s="395"/>
      <c r="W611" s="395"/>
      <c r="X611" s="622"/>
      <c r="Y611" s="458"/>
      <c r="Z611" s="458"/>
      <c r="AA611" s="458"/>
    </row>
    <row r="612" spans="1:27" s="303" customFormat="1" ht="14.25">
      <c r="A612" s="384"/>
      <c r="B612" s="384"/>
      <c r="C612" s="384"/>
      <c r="D612" s="384"/>
      <c r="E612" s="384"/>
      <c r="F612" s="384"/>
      <c r="G612" s="388"/>
      <c r="H612" s="389"/>
      <c r="I612" s="388"/>
      <c r="J612" s="391"/>
      <c r="K612" s="392"/>
      <c r="L612" s="392"/>
      <c r="M612" s="392"/>
      <c r="N612" s="388"/>
      <c r="O612" s="388"/>
      <c r="P612" s="392"/>
      <c r="Q612" s="394"/>
      <c r="R612" s="392"/>
      <c r="S612" s="395"/>
      <c r="T612" s="396"/>
      <c r="U612" s="396"/>
      <c r="V612" s="396"/>
      <c r="W612" s="396"/>
      <c r="X612" s="397"/>
      <c r="Y612" s="339"/>
      <c r="Z612" s="339"/>
      <c r="AA612" s="339"/>
    </row>
    <row r="613" spans="1:27" s="303" customFormat="1" ht="14.25">
      <c r="A613" s="384"/>
      <c r="B613" s="384"/>
      <c r="C613" s="384"/>
      <c r="D613" s="384"/>
      <c r="E613" s="384"/>
      <c r="F613" s="384"/>
      <c r="G613" s="387"/>
      <c r="H613" s="549"/>
      <c r="I613" s="387"/>
      <c r="J613" s="550"/>
      <c r="K613" s="551"/>
      <c r="L613" s="551"/>
      <c r="M613" s="551"/>
      <c r="N613" s="387"/>
      <c r="O613" s="387"/>
      <c r="P613" s="551"/>
      <c r="Q613" s="394"/>
      <c r="R613" s="551"/>
      <c r="S613" s="395"/>
      <c r="T613" s="395"/>
      <c r="U613" s="395"/>
      <c r="V613" s="395"/>
      <c r="W613" s="395"/>
      <c r="X613" s="622"/>
      <c r="Y613" s="458"/>
      <c r="Z613" s="458"/>
      <c r="AA613" s="458"/>
    </row>
    <row r="614" spans="1:27" s="303" customFormat="1" ht="14.25">
      <c r="A614" s="384"/>
      <c r="B614" s="384"/>
      <c r="C614" s="384"/>
      <c r="D614" s="384"/>
      <c r="E614" s="384"/>
      <c r="F614" s="384"/>
      <c r="G614" s="388"/>
      <c r="H614" s="389"/>
      <c r="I614" s="388"/>
      <c r="J614" s="391"/>
      <c r="K614" s="392"/>
      <c r="L614" s="392"/>
      <c r="M614" s="392"/>
      <c r="N614" s="388"/>
      <c r="O614" s="388"/>
      <c r="P614" s="392"/>
      <c r="Q614" s="394"/>
      <c r="R614" s="392"/>
      <c r="S614" s="395"/>
      <c r="T614" s="396"/>
      <c r="U614" s="396"/>
      <c r="V614" s="396"/>
      <c r="W614" s="396"/>
      <c r="X614" s="397"/>
      <c r="Y614" s="339"/>
      <c r="Z614" s="339"/>
      <c r="AA614" s="339"/>
    </row>
    <row r="615" spans="1:27" s="303" customFormat="1" ht="14.25">
      <c r="A615" s="384"/>
      <c r="B615" s="384"/>
      <c r="C615" s="384"/>
      <c r="D615" s="384"/>
      <c r="E615" s="384"/>
      <c r="F615" s="384"/>
      <c r="G615" s="387"/>
      <c r="H615" s="549"/>
      <c r="I615" s="387"/>
      <c r="J615" s="550"/>
      <c r="K615" s="551"/>
      <c r="L615" s="551"/>
      <c r="M615" s="551"/>
      <c r="N615" s="387"/>
      <c r="O615" s="387"/>
      <c r="P615" s="551"/>
      <c r="Q615" s="394"/>
      <c r="R615" s="551"/>
      <c r="S615" s="395"/>
      <c r="T615" s="395"/>
      <c r="U615" s="395"/>
      <c r="V615" s="395"/>
      <c r="W615" s="395"/>
      <c r="X615" s="622"/>
      <c r="Y615" s="458"/>
      <c r="Z615" s="458"/>
      <c r="AA615" s="458"/>
    </row>
    <row r="616" spans="1:27" s="303" customFormat="1" ht="14.25">
      <c r="A616" s="384"/>
      <c r="B616" s="384"/>
      <c r="C616" s="384"/>
      <c r="D616" s="384"/>
      <c r="E616" s="384"/>
      <c r="F616" s="384"/>
      <c r="G616" s="388"/>
      <c r="H616" s="389"/>
      <c r="I616" s="388"/>
      <c r="J616" s="391"/>
      <c r="K616" s="392"/>
      <c r="L616" s="392"/>
      <c r="M616" s="392"/>
      <c r="N616" s="388"/>
      <c r="O616" s="388"/>
      <c r="P616" s="392"/>
      <c r="Q616" s="394"/>
      <c r="R616" s="392"/>
      <c r="S616" s="395"/>
      <c r="T616" s="396"/>
      <c r="U616" s="396"/>
      <c r="V616" s="396"/>
      <c r="W616" s="396"/>
      <c r="X616" s="397"/>
      <c r="Y616" s="339"/>
      <c r="Z616" s="339"/>
      <c r="AA616" s="339"/>
    </row>
    <row r="617" spans="1:27" s="303" customFormat="1" ht="14.25">
      <c r="A617" s="384"/>
      <c r="B617" s="384"/>
      <c r="C617" s="384"/>
      <c r="D617" s="384"/>
      <c r="E617" s="384"/>
      <c r="F617" s="384"/>
      <c r="G617" s="387"/>
      <c r="H617" s="549"/>
      <c r="I617" s="387"/>
      <c r="J617" s="550"/>
      <c r="K617" s="551"/>
      <c r="L617" s="551"/>
      <c r="M617" s="551"/>
      <c r="N617" s="387"/>
      <c r="O617" s="387"/>
      <c r="P617" s="551"/>
      <c r="Q617" s="394"/>
      <c r="R617" s="551"/>
      <c r="S617" s="395"/>
      <c r="T617" s="395"/>
      <c r="U617" s="395"/>
      <c r="V617" s="395"/>
      <c r="W617" s="395"/>
      <c r="X617" s="622"/>
      <c r="Y617" s="458"/>
      <c r="Z617" s="458"/>
      <c r="AA617" s="458"/>
    </row>
    <row r="618" spans="1:27" s="303" customFormat="1" ht="14.25">
      <c r="A618" s="384"/>
      <c r="B618" s="384"/>
      <c r="C618" s="384"/>
      <c r="D618" s="384"/>
      <c r="E618" s="384"/>
      <c r="F618" s="384"/>
      <c r="G618" s="388"/>
      <c r="H618" s="389"/>
      <c r="I618" s="388"/>
      <c r="J618" s="391"/>
      <c r="K618" s="392"/>
      <c r="L618" s="392"/>
      <c r="M618" s="392"/>
      <c r="N618" s="388"/>
      <c r="O618" s="388"/>
      <c r="P618" s="392"/>
      <c r="Q618" s="394"/>
      <c r="R618" s="392"/>
      <c r="S618" s="395"/>
      <c r="T618" s="396"/>
      <c r="U618" s="396"/>
      <c r="V618" s="396"/>
      <c r="W618" s="396"/>
      <c r="X618" s="397"/>
      <c r="Y618" s="339"/>
      <c r="Z618" s="339"/>
      <c r="AA618" s="339"/>
    </row>
    <row r="619" spans="1:27" s="303" customFormat="1" ht="14.25">
      <c r="A619" s="384"/>
      <c r="B619" s="384"/>
      <c r="C619" s="384"/>
      <c r="D619" s="384"/>
      <c r="E619" s="384"/>
      <c r="F619" s="384"/>
      <c r="G619" s="387"/>
      <c r="H619" s="549"/>
      <c r="I619" s="387"/>
      <c r="J619" s="550"/>
      <c r="K619" s="551"/>
      <c r="L619" s="551"/>
      <c r="M619" s="551"/>
      <c r="N619" s="387"/>
      <c r="O619" s="387"/>
      <c r="P619" s="551"/>
      <c r="Q619" s="394"/>
      <c r="R619" s="551"/>
      <c r="S619" s="395"/>
      <c r="T619" s="395"/>
      <c r="U619" s="395"/>
      <c r="V619" s="395"/>
      <c r="W619" s="395"/>
      <c r="X619" s="622"/>
      <c r="Y619" s="458"/>
      <c r="Z619" s="458"/>
      <c r="AA619" s="458"/>
    </row>
    <row r="620" spans="1:27" s="303" customFormat="1" ht="14.25">
      <c r="A620" s="384"/>
      <c r="B620" s="384"/>
      <c r="C620" s="384"/>
      <c r="D620" s="384"/>
      <c r="E620" s="384"/>
      <c r="F620" s="384"/>
      <c r="G620" s="388"/>
      <c r="H620" s="389"/>
      <c r="I620" s="388"/>
      <c r="J620" s="391"/>
      <c r="K620" s="392"/>
      <c r="L620" s="392"/>
      <c r="M620" s="392"/>
      <c r="N620" s="388"/>
      <c r="O620" s="388"/>
      <c r="P620" s="392"/>
      <c r="Q620" s="394"/>
      <c r="R620" s="392"/>
      <c r="S620" s="395"/>
      <c r="T620" s="396"/>
      <c r="U620" s="396"/>
      <c r="V620" s="396"/>
      <c r="W620" s="396"/>
      <c r="X620" s="397"/>
      <c r="Y620" s="339"/>
      <c r="Z620" s="339"/>
      <c r="AA620" s="339"/>
    </row>
    <row r="621" spans="1:27" s="303" customFormat="1" ht="14.25">
      <c r="A621" s="384"/>
      <c r="B621" s="384"/>
      <c r="C621" s="384"/>
      <c r="D621" s="384"/>
      <c r="E621" s="384"/>
      <c r="F621" s="384"/>
      <c r="G621" s="387"/>
      <c r="H621" s="549"/>
      <c r="I621" s="387"/>
      <c r="J621" s="550"/>
      <c r="K621" s="551"/>
      <c r="L621" s="551"/>
      <c r="M621" s="551"/>
      <c r="N621" s="387"/>
      <c r="O621" s="387"/>
      <c r="P621" s="551"/>
      <c r="Q621" s="394"/>
      <c r="R621" s="551"/>
      <c r="S621" s="395"/>
      <c r="T621" s="395"/>
      <c r="U621" s="395"/>
      <c r="V621" s="395"/>
      <c r="W621" s="395"/>
      <c r="X621" s="622"/>
      <c r="Y621" s="458"/>
      <c r="Z621" s="458"/>
      <c r="AA621" s="458"/>
    </row>
    <row r="622" spans="1:27" s="303" customFormat="1" ht="14.25">
      <c r="A622" s="384"/>
      <c r="B622" s="384"/>
      <c r="C622" s="384"/>
      <c r="D622" s="384"/>
      <c r="E622" s="384"/>
      <c r="F622" s="384"/>
      <c r="G622" s="388"/>
      <c r="H622" s="389"/>
      <c r="I622" s="388"/>
      <c r="J622" s="391"/>
      <c r="K622" s="392"/>
      <c r="L622" s="392"/>
      <c r="M622" s="392"/>
      <c r="N622" s="388"/>
      <c r="O622" s="388"/>
      <c r="P622" s="392"/>
      <c r="Q622" s="394"/>
      <c r="R622" s="392"/>
      <c r="S622" s="395"/>
      <c r="T622" s="396"/>
      <c r="U622" s="396"/>
      <c r="V622" s="396"/>
      <c r="W622" s="396"/>
      <c r="X622" s="397"/>
      <c r="Y622" s="339"/>
      <c r="Z622" s="339"/>
      <c r="AA622" s="339"/>
    </row>
    <row r="623" spans="1:27" s="303" customFormat="1" ht="14.25">
      <c r="A623" s="384"/>
      <c r="B623" s="384"/>
      <c r="C623" s="384"/>
      <c r="D623" s="384"/>
      <c r="E623" s="384"/>
      <c r="F623" s="384"/>
      <c r="G623" s="387"/>
      <c r="H623" s="549"/>
      <c r="I623" s="387"/>
      <c r="J623" s="550"/>
      <c r="K623" s="551"/>
      <c r="L623" s="551"/>
      <c r="M623" s="551"/>
      <c r="N623" s="387"/>
      <c r="O623" s="387"/>
      <c r="P623" s="551"/>
      <c r="Q623" s="394"/>
      <c r="R623" s="551"/>
      <c r="S623" s="395"/>
      <c r="T623" s="395"/>
      <c r="U623" s="395"/>
      <c r="V623" s="395"/>
      <c r="W623" s="395"/>
      <c r="X623" s="622"/>
      <c r="Y623" s="458"/>
      <c r="Z623" s="458"/>
      <c r="AA623" s="458"/>
    </row>
    <row r="624" spans="1:27" s="303" customFormat="1" ht="14.25">
      <c r="A624" s="384"/>
      <c r="B624" s="384"/>
      <c r="C624" s="384"/>
      <c r="D624" s="384"/>
      <c r="E624" s="384"/>
      <c r="F624" s="384"/>
      <c r="G624" s="388"/>
      <c r="H624" s="389"/>
      <c r="I624" s="388"/>
      <c r="J624" s="391"/>
      <c r="K624" s="392"/>
      <c r="L624" s="392"/>
      <c r="M624" s="392"/>
      <c r="N624" s="388"/>
      <c r="O624" s="388"/>
      <c r="P624" s="392"/>
      <c r="Q624" s="394"/>
      <c r="R624" s="392"/>
      <c r="S624" s="395"/>
      <c r="T624" s="396"/>
      <c r="U624" s="396"/>
      <c r="V624" s="396"/>
      <c r="W624" s="396"/>
      <c r="X624" s="397"/>
      <c r="Y624" s="339"/>
      <c r="Z624" s="339"/>
      <c r="AA624" s="339"/>
    </row>
    <row r="625" spans="1:27" s="303" customFormat="1" ht="14.25">
      <c r="A625" s="384"/>
      <c r="B625" s="384"/>
      <c r="C625" s="384"/>
      <c r="D625" s="384"/>
      <c r="E625" s="384"/>
      <c r="F625" s="384"/>
      <c r="G625" s="387"/>
      <c r="H625" s="549"/>
      <c r="I625" s="387"/>
      <c r="J625" s="550"/>
      <c r="K625" s="551"/>
      <c r="L625" s="551"/>
      <c r="M625" s="551"/>
      <c r="N625" s="387"/>
      <c r="O625" s="387"/>
      <c r="P625" s="551"/>
      <c r="Q625" s="394"/>
      <c r="R625" s="551"/>
      <c r="S625" s="395"/>
      <c r="T625" s="395"/>
      <c r="U625" s="395"/>
      <c r="V625" s="395"/>
      <c r="W625" s="395"/>
      <c r="X625" s="622"/>
      <c r="Y625" s="458"/>
      <c r="Z625" s="458"/>
      <c r="AA625" s="458"/>
    </row>
    <row r="626" spans="1:27" s="303" customFormat="1" ht="14.25">
      <c r="A626" s="384"/>
      <c r="B626" s="384"/>
      <c r="C626" s="384"/>
      <c r="D626" s="384"/>
      <c r="E626" s="384"/>
      <c r="F626" s="384"/>
      <c r="G626" s="388"/>
      <c r="H626" s="389"/>
      <c r="I626" s="388"/>
      <c r="J626" s="391"/>
      <c r="K626" s="392"/>
      <c r="L626" s="392"/>
      <c r="M626" s="392"/>
      <c r="N626" s="388"/>
      <c r="O626" s="388"/>
      <c r="P626" s="392"/>
      <c r="Q626" s="394"/>
      <c r="R626" s="392"/>
      <c r="S626" s="395"/>
      <c r="T626" s="396"/>
      <c r="U626" s="396"/>
      <c r="V626" s="396"/>
      <c r="W626" s="396"/>
      <c r="X626" s="397"/>
      <c r="Y626" s="339"/>
      <c r="Z626" s="339"/>
      <c r="AA626" s="339"/>
    </row>
    <row r="627" spans="1:27" s="303" customFormat="1" ht="14.25">
      <c r="A627" s="384"/>
      <c r="B627" s="384"/>
      <c r="C627" s="384"/>
      <c r="D627" s="384"/>
      <c r="E627" s="384"/>
      <c r="F627" s="384"/>
      <c r="G627" s="387"/>
      <c r="H627" s="549"/>
      <c r="I627" s="387"/>
      <c r="J627" s="550"/>
      <c r="K627" s="551"/>
      <c r="L627" s="551"/>
      <c r="M627" s="551"/>
      <c r="N627" s="387"/>
      <c r="O627" s="387"/>
      <c r="P627" s="551"/>
      <c r="Q627" s="394"/>
      <c r="R627" s="551"/>
      <c r="S627" s="395"/>
      <c r="T627" s="395"/>
      <c r="U627" s="395"/>
      <c r="V627" s="395"/>
      <c r="W627" s="395"/>
      <c r="X627" s="622"/>
      <c r="Y627" s="458"/>
      <c r="Z627" s="458"/>
      <c r="AA627" s="458"/>
    </row>
    <row r="628" spans="1:27" s="303" customFormat="1" ht="14.25">
      <c r="A628" s="384"/>
      <c r="B628" s="384"/>
      <c r="C628" s="384"/>
      <c r="D628" s="384"/>
      <c r="E628" s="384"/>
      <c r="F628" s="384"/>
      <c r="G628" s="388"/>
      <c r="H628" s="389"/>
      <c r="I628" s="388"/>
      <c r="J628" s="391"/>
      <c r="K628" s="392"/>
      <c r="L628" s="392"/>
      <c r="M628" s="392"/>
      <c r="N628" s="388"/>
      <c r="O628" s="388"/>
      <c r="P628" s="392"/>
      <c r="Q628" s="394"/>
      <c r="R628" s="392"/>
      <c r="S628" s="395"/>
      <c r="T628" s="396"/>
      <c r="U628" s="396"/>
      <c r="V628" s="396"/>
      <c r="W628" s="396"/>
      <c r="X628" s="397"/>
      <c r="Y628" s="339"/>
      <c r="Z628" s="339"/>
      <c r="AA628" s="339"/>
    </row>
    <row r="629" spans="1:27" s="303" customFormat="1" ht="14.25">
      <c r="A629" s="384"/>
      <c r="B629" s="384"/>
      <c r="C629" s="384"/>
      <c r="D629" s="384"/>
      <c r="E629" s="384"/>
      <c r="F629" s="384"/>
      <c r="G629" s="387"/>
      <c r="H629" s="549"/>
      <c r="I629" s="387"/>
      <c r="J629" s="550"/>
      <c r="K629" s="551"/>
      <c r="L629" s="551"/>
      <c r="M629" s="551"/>
      <c r="N629" s="387"/>
      <c r="O629" s="387"/>
      <c r="P629" s="551"/>
      <c r="Q629" s="394"/>
      <c r="R629" s="551"/>
      <c r="S629" s="395"/>
      <c r="T629" s="395"/>
      <c r="U629" s="395"/>
      <c r="V629" s="395"/>
      <c r="W629" s="395"/>
      <c r="X629" s="622"/>
      <c r="Y629" s="458"/>
      <c r="Z629" s="458"/>
      <c r="AA629" s="458"/>
    </row>
    <row r="630" spans="1:27" s="303" customFormat="1" ht="14.25">
      <c r="A630" s="384"/>
      <c r="B630" s="384"/>
      <c r="C630" s="384"/>
      <c r="D630" s="384"/>
      <c r="E630" s="384"/>
      <c r="F630" s="384"/>
      <c r="G630" s="388"/>
      <c r="H630" s="389"/>
      <c r="I630" s="388"/>
      <c r="J630" s="391"/>
      <c r="K630" s="392"/>
      <c r="L630" s="392"/>
      <c r="M630" s="392"/>
      <c r="N630" s="388"/>
      <c r="O630" s="388"/>
      <c r="P630" s="392"/>
      <c r="Q630" s="394"/>
      <c r="R630" s="392"/>
      <c r="S630" s="395"/>
      <c r="T630" s="396"/>
      <c r="U630" s="396"/>
      <c r="V630" s="396"/>
      <c r="W630" s="396"/>
      <c r="X630" s="397"/>
      <c r="Y630" s="339"/>
      <c r="Z630" s="339"/>
      <c r="AA630" s="339"/>
    </row>
    <row r="631" spans="1:27" s="303" customFormat="1" ht="14.25">
      <c r="A631" s="384"/>
      <c r="B631" s="384"/>
      <c r="C631" s="384"/>
      <c r="D631" s="384"/>
      <c r="E631" s="384"/>
      <c r="F631" s="384"/>
      <c r="G631" s="387"/>
      <c r="H631" s="549"/>
      <c r="I631" s="387"/>
      <c r="J631" s="550"/>
      <c r="K631" s="551"/>
      <c r="L631" s="551"/>
      <c r="M631" s="551"/>
      <c r="N631" s="387"/>
      <c r="O631" s="387"/>
      <c r="P631" s="551"/>
      <c r="Q631" s="394"/>
      <c r="R631" s="551"/>
      <c r="S631" s="395"/>
      <c r="T631" s="395"/>
      <c r="U631" s="395"/>
      <c r="V631" s="395"/>
      <c r="W631" s="395"/>
      <c r="X631" s="622"/>
      <c r="Y631" s="458"/>
      <c r="Z631" s="458"/>
      <c r="AA631" s="458"/>
    </row>
    <row r="632" spans="1:27" s="303" customFormat="1" ht="14.25">
      <c r="A632" s="384"/>
      <c r="B632" s="384"/>
      <c r="C632" s="384"/>
      <c r="D632" s="384"/>
      <c r="E632" s="384"/>
      <c r="F632" s="384"/>
      <c r="G632" s="388"/>
      <c r="H632" s="389"/>
      <c r="I632" s="388"/>
      <c r="J632" s="391"/>
      <c r="K632" s="392"/>
      <c r="L632" s="392"/>
      <c r="M632" s="392"/>
      <c r="N632" s="388"/>
      <c r="O632" s="388"/>
      <c r="P632" s="392"/>
      <c r="Q632" s="394"/>
      <c r="R632" s="392"/>
      <c r="S632" s="395"/>
      <c r="T632" s="396"/>
      <c r="U632" s="396"/>
      <c r="V632" s="396"/>
      <c r="W632" s="396"/>
      <c r="X632" s="397"/>
      <c r="Y632" s="339"/>
      <c r="Z632" s="339"/>
      <c r="AA632" s="339"/>
    </row>
    <row r="633" spans="1:27" s="303" customFormat="1" ht="14.25">
      <c r="A633" s="384"/>
      <c r="B633" s="384"/>
      <c r="C633" s="384"/>
      <c r="D633" s="384"/>
      <c r="E633" s="384"/>
      <c r="F633" s="384"/>
      <c r="G633" s="387"/>
      <c r="H633" s="549"/>
      <c r="I633" s="387"/>
      <c r="J633" s="550"/>
      <c r="K633" s="551"/>
      <c r="L633" s="551"/>
      <c r="M633" s="551"/>
      <c r="N633" s="387"/>
      <c r="O633" s="387"/>
      <c r="P633" s="551"/>
      <c r="Q633" s="394"/>
      <c r="R633" s="551"/>
      <c r="S633" s="395"/>
      <c r="T633" s="395"/>
      <c r="U633" s="395"/>
      <c r="V633" s="395"/>
      <c r="W633" s="395"/>
      <c r="X633" s="622"/>
      <c r="Y633" s="458"/>
      <c r="Z633" s="458"/>
      <c r="AA633" s="458"/>
    </row>
    <row r="634" spans="1:27" s="303" customFormat="1" ht="14.25">
      <c r="A634" s="384"/>
      <c r="B634" s="384"/>
      <c r="C634" s="384"/>
      <c r="D634" s="384"/>
      <c r="E634" s="384"/>
      <c r="F634" s="384"/>
      <c r="G634" s="388"/>
      <c r="H634" s="389"/>
      <c r="I634" s="388"/>
      <c r="J634" s="391"/>
      <c r="K634" s="392"/>
      <c r="L634" s="392"/>
      <c r="M634" s="392"/>
      <c r="N634" s="388"/>
      <c r="O634" s="388"/>
      <c r="P634" s="392"/>
      <c r="Q634" s="394"/>
      <c r="R634" s="392"/>
      <c r="S634" s="395"/>
      <c r="T634" s="396"/>
      <c r="U634" s="396"/>
      <c r="V634" s="396"/>
      <c r="W634" s="396"/>
      <c r="X634" s="397"/>
      <c r="Y634" s="339"/>
      <c r="Z634" s="339"/>
      <c r="AA634" s="339"/>
    </row>
    <row r="635" spans="1:27" s="303" customFormat="1" ht="14.25">
      <c r="A635" s="384"/>
      <c r="B635" s="384"/>
      <c r="C635" s="384"/>
      <c r="D635" s="384"/>
      <c r="E635" s="384"/>
      <c r="F635" s="384"/>
      <c r="G635" s="387"/>
      <c r="H635" s="549"/>
      <c r="I635" s="387"/>
      <c r="J635" s="550"/>
      <c r="K635" s="551"/>
      <c r="L635" s="551"/>
      <c r="M635" s="551"/>
      <c r="N635" s="387"/>
      <c r="O635" s="387"/>
      <c r="P635" s="551"/>
      <c r="Q635" s="394"/>
      <c r="R635" s="551"/>
      <c r="S635" s="395"/>
      <c r="T635" s="395"/>
      <c r="U635" s="395"/>
      <c r="V635" s="395"/>
      <c r="W635" s="395"/>
      <c r="X635" s="622"/>
      <c r="Y635" s="458"/>
      <c r="Z635" s="458"/>
      <c r="AA635" s="458"/>
    </row>
    <row r="636" spans="1:27" s="303" customFormat="1" ht="14.25">
      <c r="A636" s="384"/>
      <c r="B636" s="384"/>
      <c r="C636" s="384"/>
      <c r="D636" s="384"/>
      <c r="E636" s="384"/>
      <c r="F636" s="384"/>
      <c r="G636" s="388"/>
      <c r="H636" s="389"/>
      <c r="I636" s="388"/>
      <c r="J636" s="391"/>
      <c r="K636" s="392"/>
      <c r="L636" s="392"/>
      <c r="M636" s="392"/>
      <c r="N636" s="388"/>
      <c r="O636" s="388"/>
      <c r="P636" s="392"/>
      <c r="Q636" s="394"/>
      <c r="R636" s="392"/>
      <c r="S636" s="395"/>
      <c r="T636" s="396"/>
      <c r="U636" s="396"/>
      <c r="V636" s="396"/>
      <c r="W636" s="396"/>
      <c r="X636" s="397"/>
      <c r="Y636" s="339"/>
      <c r="Z636" s="339"/>
      <c r="AA636" s="339"/>
    </row>
    <row r="637" spans="1:27" s="303" customFormat="1" ht="14.25">
      <c r="A637" s="384"/>
      <c r="B637" s="384"/>
      <c r="C637" s="384"/>
      <c r="D637" s="384"/>
      <c r="E637" s="384"/>
      <c r="F637" s="384"/>
      <c r="G637" s="387"/>
      <c r="H637" s="549"/>
      <c r="I637" s="387"/>
      <c r="J637" s="550"/>
      <c r="K637" s="551"/>
      <c r="L637" s="551"/>
      <c r="M637" s="551"/>
      <c r="N637" s="387"/>
      <c r="O637" s="387"/>
      <c r="P637" s="551"/>
      <c r="Q637" s="394"/>
      <c r="R637" s="551"/>
      <c r="S637" s="395"/>
      <c r="T637" s="395"/>
      <c r="U637" s="395"/>
      <c r="V637" s="395"/>
      <c r="W637" s="395"/>
      <c r="X637" s="622"/>
      <c r="Y637" s="458"/>
      <c r="Z637" s="458"/>
      <c r="AA637" s="458"/>
    </row>
    <row r="638" spans="1:27" s="303" customFormat="1" ht="14.25">
      <c r="A638" s="384"/>
      <c r="B638" s="384"/>
      <c r="C638" s="384"/>
      <c r="D638" s="384"/>
      <c r="E638" s="384"/>
      <c r="F638" s="384"/>
      <c r="G638" s="388"/>
      <c r="H638" s="389"/>
      <c r="I638" s="388"/>
      <c r="J638" s="391"/>
      <c r="K638" s="392"/>
      <c r="L638" s="392"/>
      <c r="M638" s="392"/>
      <c r="N638" s="388"/>
      <c r="O638" s="388"/>
      <c r="P638" s="392"/>
      <c r="Q638" s="394"/>
      <c r="R638" s="392"/>
      <c r="S638" s="395"/>
      <c r="T638" s="396"/>
      <c r="U638" s="396"/>
      <c r="V638" s="396"/>
      <c r="W638" s="396"/>
      <c r="X638" s="397"/>
      <c r="Y638" s="339"/>
      <c r="Z638" s="339"/>
      <c r="AA638" s="339"/>
    </row>
    <row r="639" spans="1:27" s="303" customFormat="1" ht="14.25">
      <c r="A639" s="384"/>
      <c r="B639" s="384"/>
      <c r="C639" s="384"/>
      <c r="D639" s="384"/>
      <c r="E639" s="384"/>
      <c r="F639" s="384"/>
      <c r="G639" s="387"/>
      <c r="H639" s="549"/>
      <c r="I639" s="387"/>
      <c r="J639" s="550"/>
      <c r="K639" s="551"/>
      <c r="L639" s="551"/>
      <c r="M639" s="551"/>
      <c r="N639" s="387"/>
      <c r="O639" s="387"/>
      <c r="P639" s="551"/>
      <c r="Q639" s="394"/>
      <c r="R639" s="551"/>
      <c r="S639" s="395"/>
      <c r="T639" s="395"/>
      <c r="U639" s="395"/>
      <c r="V639" s="395"/>
      <c r="W639" s="395"/>
      <c r="X639" s="622"/>
      <c r="Y639" s="458"/>
      <c r="Z639" s="458"/>
      <c r="AA639" s="458"/>
    </row>
    <row r="640" spans="1:27" s="303" customFormat="1" ht="14.25">
      <c r="A640" s="384"/>
      <c r="B640" s="384"/>
      <c r="C640" s="384"/>
      <c r="D640" s="384"/>
      <c r="E640" s="384"/>
      <c r="F640" s="384"/>
      <c r="G640" s="388"/>
      <c r="H640" s="389"/>
      <c r="I640" s="388"/>
      <c r="J640" s="391"/>
      <c r="K640" s="392"/>
      <c r="L640" s="392"/>
      <c r="M640" s="392"/>
      <c r="N640" s="388"/>
      <c r="O640" s="388"/>
      <c r="P640" s="392"/>
      <c r="Q640" s="394"/>
      <c r="R640" s="392"/>
      <c r="S640" s="395"/>
      <c r="T640" s="396"/>
      <c r="U640" s="396"/>
      <c r="V640" s="396"/>
      <c r="W640" s="396"/>
      <c r="X640" s="397"/>
      <c r="Y640" s="339"/>
      <c r="Z640" s="339"/>
      <c r="AA640" s="339"/>
    </row>
    <row r="641" spans="1:27" s="303" customFormat="1" ht="14.25">
      <c r="A641" s="384"/>
      <c r="B641" s="384"/>
      <c r="C641" s="384"/>
      <c r="D641" s="384"/>
      <c r="E641" s="384"/>
      <c r="F641" s="384"/>
      <c r="G641" s="387"/>
      <c r="H641" s="549"/>
      <c r="I641" s="387"/>
      <c r="J641" s="550"/>
      <c r="K641" s="551"/>
      <c r="L641" s="551"/>
      <c r="M641" s="551"/>
      <c r="N641" s="387"/>
      <c r="O641" s="387"/>
      <c r="P641" s="551"/>
      <c r="Q641" s="394"/>
      <c r="R641" s="551"/>
      <c r="S641" s="395"/>
      <c r="T641" s="395"/>
      <c r="U641" s="395"/>
      <c r="V641" s="395"/>
      <c r="W641" s="395"/>
      <c r="X641" s="622"/>
      <c r="Y641" s="458"/>
      <c r="Z641" s="458"/>
      <c r="AA641" s="458"/>
    </row>
    <row r="642" spans="1:27" s="303" customFormat="1" ht="14.25">
      <c r="A642" s="384"/>
      <c r="B642" s="384"/>
      <c r="C642" s="384"/>
      <c r="D642" s="384"/>
      <c r="E642" s="384"/>
      <c r="F642" s="384"/>
      <c r="G642" s="388"/>
      <c r="H642" s="389"/>
      <c r="I642" s="388"/>
      <c r="J642" s="391"/>
      <c r="K642" s="392"/>
      <c r="L642" s="392"/>
      <c r="M642" s="392"/>
      <c r="N642" s="388"/>
      <c r="O642" s="388"/>
      <c r="P642" s="392"/>
      <c r="Q642" s="394"/>
      <c r="R642" s="392"/>
      <c r="S642" s="395"/>
      <c r="T642" s="396"/>
      <c r="U642" s="396"/>
      <c r="V642" s="396"/>
      <c r="W642" s="396"/>
      <c r="X642" s="397"/>
      <c r="Y642" s="339"/>
      <c r="Z642" s="339"/>
      <c r="AA642" s="339"/>
    </row>
    <row r="643" spans="1:27" s="303" customFormat="1" ht="14.25">
      <c r="A643" s="384"/>
      <c r="B643" s="384"/>
      <c r="C643" s="384"/>
      <c r="D643" s="384"/>
      <c r="E643" s="384"/>
      <c r="F643" s="384"/>
      <c r="G643" s="387"/>
      <c r="H643" s="549"/>
      <c r="I643" s="387"/>
      <c r="J643" s="550"/>
      <c r="K643" s="551"/>
      <c r="L643" s="551"/>
      <c r="M643" s="551"/>
      <c r="N643" s="387"/>
      <c r="O643" s="387"/>
      <c r="P643" s="551"/>
      <c r="Q643" s="394"/>
      <c r="R643" s="551"/>
      <c r="S643" s="395"/>
      <c r="T643" s="395"/>
      <c r="U643" s="395"/>
      <c r="V643" s="395"/>
      <c r="W643" s="395"/>
      <c r="X643" s="622"/>
      <c r="Y643" s="458"/>
      <c r="Z643" s="458"/>
      <c r="AA643" s="458"/>
    </row>
    <row r="644" spans="1:27" s="303" customFormat="1" ht="14.25">
      <c r="A644" s="384"/>
      <c r="B644" s="384"/>
      <c r="C644" s="384"/>
      <c r="D644" s="384"/>
      <c r="E644" s="384"/>
      <c r="F644" s="384"/>
      <c r="G644" s="388"/>
      <c r="H644" s="389"/>
      <c r="I644" s="388"/>
      <c r="J644" s="391"/>
      <c r="K644" s="392"/>
      <c r="L644" s="392"/>
      <c r="M644" s="392"/>
      <c r="N644" s="388"/>
      <c r="O644" s="388"/>
      <c r="P644" s="392"/>
      <c r="Q644" s="394"/>
      <c r="R644" s="392"/>
      <c r="S644" s="395"/>
      <c r="T644" s="396"/>
      <c r="U644" s="396"/>
      <c r="V644" s="396"/>
      <c r="W644" s="396"/>
      <c r="X644" s="397"/>
      <c r="Y644" s="339"/>
      <c r="Z644" s="339"/>
      <c r="AA644" s="339"/>
    </row>
    <row r="645" spans="1:27" s="303" customFormat="1" ht="14.25">
      <c r="A645" s="384"/>
      <c r="B645" s="384"/>
      <c r="C645" s="384"/>
      <c r="D645" s="384"/>
      <c r="E645" s="384"/>
      <c r="F645" s="384"/>
      <c r="G645" s="387"/>
      <c r="H645" s="549"/>
      <c r="I645" s="387"/>
      <c r="J645" s="550"/>
      <c r="K645" s="551"/>
      <c r="L645" s="551"/>
      <c r="M645" s="551"/>
      <c r="N645" s="387"/>
      <c r="O645" s="387"/>
      <c r="P645" s="551"/>
      <c r="Q645" s="394"/>
      <c r="R645" s="551"/>
      <c r="S645" s="395"/>
      <c r="T645" s="395"/>
      <c r="U645" s="395"/>
      <c r="V645" s="395"/>
      <c r="W645" s="395"/>
      <c r="X645" s="622"/>
      <c r="Y645" s="458"/>
      <c r="Z645" s="458"/>
      <c r="AA645" s="458"/>
    </row>
    <row r="646" spans="1:27" s="303" customFormat="1" ht="14.25">
      <c r="A646" s="384"/>
      <c r="B646" s="384"/>
      <c r="C646" s="384"/>
      <c r="D646" s="384"/>
      <c r="E646" s="384"/>
      <c r="F646" s="384"/>
      <c r="G646" s="388"/>
      <c r="H646" s="389"/>
      <c r="I646" s="388"/>
      <c r="J646" s="391"/>
      <c r="K646" s="392"/>
      <c r="L646" s="392"/>
      <c r="M646" s="392"/>
      <c r="N646" s="388"/>
      <c r="O646" s="388"/>
      <c r="P646" s="392"/>
      <c r="Q646" s="394"/>
      <c r="R646" s="392"/>
      <c r="S646" s="395"/>
      <c r="T646" s="396"/>
      <c r="U646" s="396"/>
      <c r="V646" s="396"/>
      <c r="W646" s="396"/>
      <c r="X646" s="397"/>
      <c r="Y646" s="339"/>
      <c r="Z646" s="339"/>
      <c r="AA646" s="339"/>
    </row>
    <row r="647" spans="1:27" s="303" customFormat="1" ht="14.25">
      <c r="A647" s="384"/>
      <c r="B647" s="384"/>
      <c r="C647" s="384"/>
      <c r="D647" s="384"/>
      <c r="E647" s="384"/>
      <c r="F647" s="384"/>
      <c r="G647" s="387"/>
      <c r="H647" s="549"/>
      <c r="I647" s="387"/>
      <c r="J647" s="550"/>
      <c r="K647" s="551"/>
      <c r="L647" s="551"/>
      <c r="M647" s="551"/>
      <c r="N647" s="387"/>
      <c r="O647" s="387"/>
      <c r="P647" s="551"/>
      <c r="Q647" s="394"/>
      <c r="R647" s="551"/>
      <c r="S647" s="395"/>
      <c r="T647" s="395"/>
      <c r="U647" s="395"/>
      <c r="V647" s="395"/>
      <c r="W647" s="395"/>
      <c r="X647" s="622"/>
      <c r="Y647" s="458"/>
      <c r="Z647" s="458"/>
      <c r="AA647" s="458"/>
    </row>
    <row r="648" spans="1:27" s="303" customFormat="1" ht="14.25">
      <c r="A648" s="384"/>
      <c r="B648" s="384"/>
      <c r="C648" s="384"/>
      <c r="D648" s="384"/>
      <c r="E648" s="384"/>
      <c r="F648" s="384"/>
      <c r="G648" s="388"/>
      <c r="H648" s="389"/>
      <c r="I648" s="388"/>
      <c r="J648" s="391"/>
      <c r="K648" s="392"/>
      <c r="L648" s="392"/>
      <c r="M648" s="392"/>
      <c r="N648" s="388"/>
      <c r="O648" s="388"/>
      <c r="P648" s="392"/>
      <c r="Q648" s="394"/>
      <c r="R648" s="392"/>
      <c r="S648" s="395"/>
      <c r="T648" s="396"/>
      <c r="U648" s="396"/>
      <c r="V648" s="396"/>
      <c r="W648" s="396"/>
      <c r="X648" s="397"/>
      <c r="Y648" s="339"/>
      <c r="Z648" s="339"/>
      <c r="AA648" s="339"/>
    </row>
    <row r="649" spans="1:27" s="303" customFormat="1" ht="14.25">
      <c r="A649" s="384"/>
      <c r="B649" s="384"/>
      <c r="C649" s="384"/>
      <c r="D649" s="384"/>
      <c r="E649" s="384"/>
      <c r="F649" s="384"/>
      <c r="G649" s="387"/>
      <c r="H649" s="549"/>
      <c r="I649" s="387"/>
      <c r="J649" s="550"/>
      <c r="K649" s="551"/>
      <c r="L649" s="551"/>
      <c r="M649" s="551"/>
      <c r="N649" s="387"/>
      <c r="O649" s="387"/>
      <c r="P649" s="551"/>
      <c r="Q649" s="394"/>
      <c r="R649" s="551"/>
      <c r="S649" s="395"/>
      <c r="T649" s="395"/>
      <c r="U649" s="395"/>
      <c r="V649" s="395"/>
      <c r="W649" s="395"/>
      <c r="X649" s="622"/>
      <c r="Y649" s="458"/>
      <c r="Z649" s="458"/>
      <c r="AA649" s="458"/>
    </row>
    <row r="650" spans="1:27" s="303" customFormat="1" ht="14.25">
      <c r="A650" s="384"/>
      <c r="B650" s="384"/>
      <c r="C650" s="384"/>
      <c r="D650" s="384"/>
      <c r="E650" s="384"/>
      <c r="F650" s="384"/>
      <c r="G650" s="388"/>
      <c r="H650" s="389"/>
      <c r="I650" s="388"/>
      <c r="J650" s="391"/>
      <c r="K650" s="392"/>
      <c r="L650" s="392"/>
      <c r="M650" s="392"/>
      <c r="N650" s="388"/>
      <c r="O650" s="388"/>
      <c r="P650" s="392"/>
      <c r="Q650" s="394"/>
      <c r="R650" s="392"/>
      <c r="S650" s="395"/>
      <c r="T650" s="396"/>
      <c r="U650" s="396"/>
      <c r="V650" s="396"/>
      <c r="W650" s="396"/>
      <c r="X650" s="397"/>
      <c r="Y650" s="339"/>
      <c r="Z650" s="339"/>
      <c r="AA650" s="339"/>
    </row>
    <row r="651" spans="1:27" s="303" customFormat="1" ht="14.25">
      <c r="A651" s="384"/>
      <c r="B651" s="384"/>
      <c r="C651" s="384"/>
      <c r="D651" s="384"/>
      <c r="E651" s="384"/>
      <c r="F651" s="384"/>
      <c r="G651" s="387"/>
      <c r="H651" s="549"/>
      <c r="I651" s="387"/>
      <c r="J651" s="550"/>
      <c r="K651" s="551"/>
      <c r="L651" s="551"/>
      <c r="M651" s="551"/>
      <c r="N651" s="387"/>
      <c r="O651" s="387"/>
      <c r="P651" s="551"/>
      <c r="Q651" s="394"/>
      <c r="R651" s="551"/>
      <c r="S651" s="395"/>
      <c r="T651" s="395"/>
      <c r="U651" s="395"/>
      <c r="V651" s="395"/>
      <c r="W651" s="395"/>
      <c r="X651" s="622"/>
      <c r="Y651" s="458"/>
      <c r="Z651" s="458"/>
      <c r="AA651" s="458"/>
    </row>
    <row r="652" spans="1:27" s="303" customFormat="1" ht="14.25">
      <c r="A652" s="384"/>
      <c r="B652" s="384"/>
      <c r="C652" s="384"/>
      <c r="D652" s="384"/>
      <c r="E652" s="384"/>
      <c r="F652" s="384"/>
      <c r="G652" s="388"/>
      <c r="H652" s="389"/>
      <c r="I652" s="388"/>
      <c r="J652" s="391"/>
      <c r="K652" s="392"/>
      <c r="L652" s="392"/>
      <c r="M652" s="392"/>
      <c r="N652" s="388"/>
      <c r="O652" s="388"/>
      <c r="P652" s="392"/>
      <c r="Q652" s="394"/>
      <c r="R652" s="392"/>
      <c r="S652" s="395"/>
      <c r="T652" s="396"/>
      <c r="U652" s="396"/>
      <c r="V652" s="396"/>
      <c r="W652" s="396"/>
      <c r="X652" s="397"/>
      <c r="Y652" s="339"/>
      <c r="Z652" s="339"/>
      <c r="AA652" s="339"/>
    </row>
    <row r="653" spans="1:27" s="303" customFormat="1" ht="14.25">
      <c r="A653" s="384"/>
      <c r="B653" s="384"/>
      <c r="C653" s="384"/>
      <c r="D653" s="384"/>
      <c r="E653" s="384"/>
      <c r="F653" s="384"/>
      <c r="G653" s="387"/>
      <c r="H653" s="549"/>
      <c r="I653" s="387"/>
      <c r="J653" s="550"/>
      <c r="K653" s="551"/>
      <c r="L653" s="551"/>
      <c r="M653" s="551"/>
      <c r="N653" s="387"/>
      <c r="O653" s="387"/>
      <c r="P653" s="551"/>
      <c r="Q653" s="394"/>
      <c r="R653" s="551"/>
      <c r="S653" s="395"/>
      <c r="T653" s="395"/>
      <c r="U653" s="395"/>
      <c r="V653" s="395"/>
      <c r="W653" s="395"/>
      <c r="X653" s="622"/>
      <c r="Y653" s="458"/>
      <c r="Z653" s="458"/>
      <c r="AA653" s="458"/>
    </row>
    <row r="654" spans="1:27" s="303" customFormat="1" ht="14.25">
      <c r="A654" s="384"/>
      <c r="B654" s="384"/>
      <c r="C654" s="384"/>
      <c r="D654" s="384"/>
      <c r="E654" s="384"/>
      <c r="F654" s="384"/>
      <c r="G654" s="388"/>
      <c r="H654" s="389"/>
      <c r="I654" s="388"/>
      <c r="J654" s="391"/>
      <c r="K654" s="392"/>
      <c r="L654" s="392"/>
      <c r="M654" s="392"/>
      <c r="N654" s="388"/>
      <c r="O654" s="388"/>
      <c r="P654" s="392"/>
      <c r="Q654" s="394"/>
      <c r="R654" s="392"/>
      <c r="S654" s="395"/>
      <c r="T654" s="396"/>
      <c r="U654" s="396"/>
      <c r="V654" s="396"/>
      <c r="W654" s="396"/>
      <c r="X654" s="397"/>
      <c r="Y654" s="339"/>
      <c r="Z654" s="339"/>
      <c r="AA654" s="339"/>
    </row>
    <row r="655" spans="1:27" s="303" customFormat="1" ht="14.25">
      <c r="A655" s="384"/>
      <c r="B655" s="384"/>
      <c r="C655" s="384"/>
      <c r="D655" s="384"/>
      <c r="E655" s="384"/>
      <c r="F655" s="384"/>
      <c r="G655" s="387"/>
      <c r="H655" s="549"/>
      <c r="I655" s="387"/>
      <c r="J655" s="550"/>
      <c r="K655" s="551"/>
      <c r="L655" s="551"/>
      <c r="M655" s="551"/>
      <c r="N655" s="387"/>
      <c r="O655" s="387"/>
      <c r="P655" s="551"/>
      <c r="Q655" s="394"/>
      <c r="R655" s="551"/>
      <c r="S655" s="395"/>
      <c r="T655" s="395"/>
      <c r="U655" s="395"/>
      <c r="V655" s="395"/>
      <c r="W655" s="395"/>
      <c r="X655" s="622"/>
      <c r="Y655" s="458"/>
      <c r="Z655" s="458"/>
      <c r="AA655" s="458"/>
    </row>
    <row r="656" spans="1:27" s="303" customFormat="1" ht="14.25">
      <c r="A656" s="384"/>
      <c r="B656" s="384"/>
      <c r="C656" s="384"/>
      <c r="D656" s="384"/>
      <c r="E656" s="384"/>
      <c r="F656" s="384"/>
      <c r="G656" s="388"/>
      <c r="H656" s="389"/>
      <c r="I656" s="388"/>
      <c r="J656" s="391"/>
      <c r="K656" s="392"/>
      <c r="L656" s="392"/>
      <c r="M656" s="392"/>
      <c r="N656" s="388"/>
      <c r="O656" s="388"/>
      <c r="P656" s="392"/>
      <c r="Q656" s="394"/>
      <c r="R656" s="392"/>
      <c r="S656" s="395"/>
      <c r="T656" s="396"/>
      <c r="U656" s="396"/>
      <c r="V656" s="396"/>
      <c r="W656" s="396"/>
      <c r="X656" s="397"/>
      <c r="Y656" s="339"/>
      <c r="Z656" s="339"/>
      <c r="AA656" s="339"/>
    </row>
    <row r="657" spans="1:27" s="303" customFormat="1" ht="14.25">
      <c r="A657" s="384"/>
      <c r="B657" s="384"/>
      <c r="C657" s="384"/>
      <c r="D657" s="384"/>
      <c r="E657" s="384"/>
      <c r="F657" s="384"/>
      <c r="G657" s="387"/>
      <c r="H657" s="549"/>
      <c r="I657" s="387"/>
      <c r="J657" s="550"/>
      <c r="K657" s="551"/>
      <c r="L657" s="551"/>
      <c r="M657" s="551"/>
      <c r="N657" s="387"/>
      <c r="O657" s="387"/>
      <c r="P657" s="551"/>
      <c r="Q657" s="394"/>
      <c r="R657" s="551"/>
      <c r="S657" s="395"/>
      <c r="T657" s="395"/>
      <c r="U657" s="395"/>
      <c r="V657" s="395"/>
      <c r="W657" s="395"/>
      <c r="X657" s="622"/>
      <c r="Y657" s="458"/>
      <c r="Z657" s="458"/>
      <c r="AA657" s="458"/>
    </row>
    <row r="658" spans="1:27" s="303" customFormat="1" ht="14.25">
      <c r="A658" s="384"/>
      <c r="B658" s="384"/>
      <c r="C658" s="384"/>
      <c r="D658" s="384"/>
      <c r="E658" s="384"/>
      <c r="F658" s="384"/>
      <c r="G658" s="388"/>
      <c r="H658" s="389"/>
      <c r="I658" s="388"/>
      <c r="J658" s="391"/>
      <c r="K658" s="392"/>
      <c r="L658" s="392"/>
      <c r="M658" s="392"/>
      <c r="N658" s="388"/>
      <c r="O658" s="388"/>
      <c r="P658" s="392"/>
      <c r="Q658" s="394"/>
      <c r="R658" s="392"/>
      <c r="S658" s="395"/>
      <c r="T658" s="396"/>
      <c r="U658" s="396"/>
      <c r="V658" s="396"/>
      <c r="W658" s="396"/>
      <c r="X658" s="397"/>
      <c r="Y658" s="339"/>
      <c r="Z658" s="339"/>
      <c r="AA658" s="339"/>
    </row>
    <row r="659" spans="1:27" s="303" customFormat="1" ht="14.25">
      <c r="A659" s="384"/>
      <c r="B659" s="384"/>
      <c r="C659" s="384"/>
      <c r="D659" s="384"/>
      <c r="E659" s="384"/>
      <c r="F659" s="384"/>
      <c r="G659" s="387"/>
      <c r="H659" s="549"/>
      <c r="I659" s="387"/>
      <c r="J659" s="550"/>
      <c r="K659" s="551"/>
      <c r="L659" s="551"/>
      <c r="M659" s="551"/>
      <c r="N659" s="387"/>
      <c r="O659" s="387"/>
      <c r="P659" s="551"/>
      <c r="Q659" s="394"/>
      <c r="R659" s="551"/>
      <c r="S659" s="395"/>
      <c r="T659" s="395"/>
      <c r="U659" s="395"/>
      <c r="V659" s="395"/>
      <c r="W659" s="395"/>
      <c r="X659" s="622"/>
      <c r="Y659" s="458"/>
      <c r="Z659" s="458"/>
      <c r="AA659" s="458"/>
    </row>
    <row r="660" spans="1:27" s="303" customFormat="1" ht="14.25">
      <c r="A660" s="384"/>
      <c r="B660" s="384"/>
      <c r="C660" s="384"/>
      <c r="D660" s="384"/>
      <c r="E660" s="384"/>
      <c r="F660" s="384"/>
      <c r="G660" s="388"/>
      <c r="H660" s="389"/>
      <c r="I660" s="388"/>
      <c r="J660" s="391"/>
      <c r="K660" s="392"/>
      <c r="L660" s="392"/>
      <c r="M660" s="392"/>
      <c r="N660" s="388"/>
      <c r="O660" s="388"/>
      <c r="P660" s="392"/>
      <c r="Q660" s="394"/>
      <c r="R660" s="392"/>
      <c r="S660" s="395"/>
      <c r="T660" s="396"/>
      <c r="U660" s="396"/>
      <c r="V660" s="396"/>
      <c r="W660" s="396"/>
      <c r="X660" s="397"/>
      <c r="Y660" s="339"/>
      <c r="Z660" s="339"/>
      <c r="AA660" s="339"/>
    </row>
    <row r="661" spans="1:27" s="303" customFormat="1" ht="14.25">
      <c r="A661" s="384"/>
      <c r="B661" s="384"/>
      <c r="C661" s="384"/>
      <c r="D661" s="384"/>
      <c r="E661" s="384"/>
      <c r="F661" s="384"/>
      <c r="G661" s="387"/>
      <c r="H661" s="549"/>
      <c r="I661" s="387"/>
      <c r="J661" s="550"/>
      <c r="K661" s="551"/>
      <c r="L661" s="551"/>
      <c r="M661" s="551"/>
      <c r="N661" s="387"/>
      <c r="O661" s="387"/>
      <c r="P661" s="551"/>
      <c r="Q661" s="394"/>
      <c r="R661" s="551"/>
      <c r="S661" s="395"/>
      <c r="T661" s="395"/>
      <c r="U661" s="395"/>
      <c r="V661" s="395"/>
      <c r="W661" s="395"/>
      <c r="X661" s="622"/>
      <c r="Y661" s="458"/>
      <c r="Z661" s="458"/>
      <c r="AA661" s="458"/>
    </row>
    <row r="662" spans="1:27" s="303" customFormat="1" ht="14.25">
      <c r="A662" s="384"/>
      <c r="B662" s="384"/>
      <c r="C662" s="384"/>
      <c r="D662" s="384"/>
      <c r="E662" s="384"/>
      <c r="F662" s="384"/>
      <c r="G662" s="388"/>
      <c r="H662" s="389"/>
      <c r="I662" s="388"/>
      <c r="J662" s="391"/>
      <c r="K662" s="392"/>
      <c r="L662" s="392"/>
      <c r="M662" s="392"/>
      <c r="N662" s="388"/>
      <c r="O662" s="388"/>
      <c r="P662" s="392"/>
      <c r="Q662" s="394"/>
      <c r="R662" s="392"/>
      <c r="S662" s="395"/>
      <c r="T662" s="396"/>
      <c r="U662" s="396"/>
      <c r="V662" s="396"/>
      <c r="W662" s="396"/>
      <c r="X662" s="397"/>
      <c r="Y662" s="339"/>
      <c r="Z662" s="339"/>
      <c r="AA662" s="339"/>
    </row>
    <row r="663" spans="1:27" s="303" customFormat="1" ht="14.25">
      <c r="A663" s="384"/>
      <c r="B663" s="384"/>
      <c r="C663" s="384"/>
      <c r="D663" s="384"/>
      <c r="E663" s="384"/>
      <c r="F663" s="384"/>
      <c r="G663" s="387"/>
      <c r="H663" s="549"/>
      <c r="I663" s="387"/>
      <c r="J663" s="550"/>
      <c r="K663" s="551"/>
      <c r="L663" s="551"/>
      <c r="M663" s="551"/>
      <c r="N663" s="387"/>
      <c r="O663" s="387"/>
      <c r="P663" s="551"/>
      <c r="Q663" s="394"/>
      <c r="R663" s="551"/>
      <c r="S663" s="395"/>
      <c r="T663" s="395"/>
      <c r="U663" s="395"/>
      <c r="V663" s="395"/>
      <c r="W663" s="395"/>
      <c r="X663" s="622"/>
      <c r="Y663" s="458"/>
      <c r="Z663" s="458"/>
      <c r="AA663" s="458"/>
    </row>
    <row r="664" spans="1:27" s="303" customFormat="1" ht="14.25">
      <c r="A664" s="384"/>
      <c r="B664" s="384"/>
      <c r="C664" s="384"/>
      <c r="D664" s="384"/>
      <c r="E664" s="384"/>
      <c r="F664" s="384"/>
      <c r="G664" s="388"/>
      <c r="H664" s="389"/>
      <c r="I664" s="388"/>
      <c r="J664" s="391"/>
      <c r="K664" s="392"/>
      <c r="L664" s="392"/>
      <c r="M664" s="392"/>
      <c r="N664" s="388"/>
      <c r="O664" s="388"/>
      <c r="P664" s="392"/>
      <c r="Q664" s="394"/>
      <c r="R664" s="392"/>
      <c r="S664" s="395"/>
      <c r="T664" s="396"/>
      <c r="U664" s="396"/>
      <c r="V664" s="396"/>
      <c r="W664" s="396"/>
      <c r="X664" s="397"/>
      <c r="Y664" s="339"/>
      <c r="Z664" s="339"/>
      <c r="AA664" s="339"/>
    </row>
    <row r="665" spans="1:27" s="303" customFormat="1" ht="14.25">
      <c r="A665" s="384"/>
      <c r="B665" s="384"/>
      <c r="C665" s="384"/>
      <c r="D665" s="384"/>
      <c r="E665" s="384"/>
      <c r="F665" s="384"/>
      <c r="G665" s="387"/>
      <c r="H665" s="549"/>
      <c r="I665" s="387"/>
      <c r="J665" s="550"/>
      <c r="K665" s="551"/>
      <c r="L665" s="551"/>
      <c r="M665" s="551"/>
      <c r="N665" s="387"/>
      <c r="O665" s="387"/>
      <c r="P665" s="551"/>
      <c r="Q665" s="394"/>
      <c r="R665" s="551"/>
      <c r="S665" s="395"/>
      <c r="T665" s="395"/>
      <c r="U665" s="395"/>
      <c r="V665" s="395"/>
      <c r="W665" s="395"/>
      <c r="X665" s="622"/>
      <c r="Y665" s="458"/>
      <c r="Z665" s="458"/>
      <c r="AA665" s="458"/>
    </row>
    <row r="666" spans="1:27" s="303" customFormat="1" ht="14.25">
      <c r="A666" s="384"/>
      <c r="B666" s="384"/>
      <c r="C666" s="384"/>
      <c r="D666" s="384"/>
      <c r="E666" s="384"/>
      <c r="F666" s="384"/>
      <c r="G666" s="388"/>
      <c r="H666" s="389"/>
      <c r="I666" s="388"/>
      <c r="J666" s="391"/>
      <c r="K666" s="392"/>
      <c r="L666" s="392"/>
      <c r="M666" s="392"/>
      <c r="N666" s="388"/>
      <c r="O666" s="388"/>
      <c r="P666" s="392"/>
      <c r="Q666" s="394"/>
      <c r="R666" s="392"/>
      <c r="S666" s="395"/>
      <c r="T666" s="396"/>
      <c r="U666" s="396"/>
      <c r="V666" s="396"/>
      <c r="W666" s="396"/>
      <c r="X666" s="397"/>
      <c r="Y666" s="339"/>
      <c r="Z666" s="339"/>
      <c r="AA666" s="339"/>
    </row>
    <row r="667" spans="1:27" s="303" customFormat="1" ht="14.25">
      <c r="A667" s="384"/>
      <c r="B667" s="384"/>
      <c r="C667" s="384"/>
      <c r="D667" s="384"/>
      <c r="E667" s="384"/>
      <c r="F667" s="384"/>
      <c r="G667" s="387"/>
      <c r="H667" s="549"/>
      <c r="I667" s="387"/>
      <c r="J667" s="550"/>
      <c r="K667" s="551"/>
      <c r="L667" s="551"/>
      <c r="M667" s="551"/>
      <c r="N667" s="387"/>
      <c r="O667" s="387"/>
      <c r="P667" s="551"/>
      <c r="Q667" s="394"/>
      <c r="R667" s="551"/>
      <c r="S667" s="395"/>
      <c r="T667" s="395"/>
      <c r="U667" s="395"/>
      <c r="V667" s="395"/>
      <c r="W667" s="395"/>
      <c r="X667" s="622"/>
      <c r="Y667" s="458"/>
      <c r="Z667" s="458"/>
      <c r="AA667" s="458"/>
    </row>
    <row r="668" spans="1:27" s="303" customFormat="1" ht="14.25">
      <c r="A668" s="384"/>
      <c r="B668" s="384"/>
      <c r="C668" s="384"/>
      <c r="D668" s="384"/>
      <c r="E668" s="384"/>
      <c r="F668" s="384"/>
      <c r="G668" s="388"/>
      <c r="H668" s="389"/>
      <c r="I668" s="388"/>
      <c r="J668" s="391"/>
      <c r="K668" s="392"/>
      <c r="L668" s="392"/>
      <c r="M668" s="392"/>
      <c r="N668" s="388"/>
      <c r="O668" s="388"/>
      <c r="P668" s="392"/>
      <c r="Q668" s="394"/>
      <c r="R668" s="392"/>
      <c r="S668" s="395"/>
      <c r="T668" s="396"/>
      <c r="U668" s="396"/>
      <c r="V668" s="396"/>
      <c r="W668" s="396"/>
      <c r="X668" s="397"/>
      <c r="Y668" s="339"/>
      <c r="Z668" s="339"/>
      <c r="AA668" s="339"/>
    </row>
    <row r="669" spans="1:27" s="303" customFormat="1" ht="14.25">
      <c r="A669" s="384"/>
      <c r="B669" s="384"/>
      <c r="C669" s="384"/>
      <c r="D669" s="384"/>
      <c r="E669" s="384"/>
      <c r="F669" s="384"/>
      <c r="G669" s="387"/>
      <c r="H669" s="549"/>
      <c r="I669" s="387"/>
      <c r="J669" s="550"/>
      <c r="K669" s="551"/>
      <c r="L669" s="551"/>
      <c r="M669" s="551"/>
      <c r="N669" s="387"/>
      <c r="O669" s="387"/>
      <c r="P669" s="551"/>
      <c r="Q669" s="394"/>
      <c r="R669" s="551"/>
      <c r="S669" s="395"/>
      <c r="T669" s="395"/>
      <c r="U669" s="395"/>
      <c r="V669" s="395"/>
      <c r="W669" s="395"/>
      <c r="X669" s="622"/>
      <c r="Y669" s="458"/>
      <c r="Z669" s="458"/>
      <c r="AA669" s="458"/>
    </row>
    <row r="670" spans="1:27" s="303" customFormat="1" ht="14.25">
      <c r="A670" s="384"/>
      <c r="B670" s="384"/>
      <c r="C670" s="384"/>
      <c r="D670" s="384"/>
      <c r="E670" s="384"/>
      <c r="F670" s="384"/>
      <c r="G670" s="388"/>
      <c r="H670" s="389"/>
      <c r="I670" s="388"/>
      <c r="J670" s="391"/>
      <c r="K670" s="392"/>
      <c r="L670" s="392"/>
      <c r="M670" s="392"/>
      <c r="N670" s="388"/>
      <c r="O670" s="388"/>
      <c r="P670" s="392"/>
      <c r="Q670" s="394"/>
      <c r="R670" s="392"/>
      <c r="S670" s="395"/>
      <c r="T670" s="396"/>
      <c r="U670" s="396"/>
      <c r="V670" s="396"/>
      <c r="W670" s="396"/>
      <c r="X670" s="397"/>
      <c r="Y670" s="339"/>
      <c r="Z670" s="339"/>
      <c r="AA670" s="339"/>
    </row>
    <row r="671" spans="1:27" s="303" customFormat="1" ht="14.25">
      <c r="A671" s="384"/>
      <c r="B671" s="384"/>
      <c r="C671" s="384"/>
      <c r="D671" s="384"/>
      <c r="E671" s="384"/>
      <c r="F671" s="384"/>
      <c r="G671" s="387"/>
      <c r="H671" s="549"/>
      <c r="I671" s="387"/>
      <c r="J671" s="550"/>
      <c r="K671" s="551"/>
      <c r="L671" s="551"/>
      <c r="M671" s="551"/>
      <c r="N671" s="387"/>
      <c r="O671" s="387"/>
      <c r="P671" s="551"/>
      <c r="Q671" s="394"/>
      <c r="R671" s="551"/>
      <c r="S671" s="395"/>
      <c r="T671" s="395"/>
      <c r="U671" s="395"/>
      <c r="V671" s="395"/>
      <c r="W671" s="395"/>
      <c r="X671" s="622"/>
      <c r="Y671" s="458"/>
      <c r="Z671" s="458"/>
      <c r="AA671" s="458"/>
    </row>
    <row r="672" spans="1:27" s="303" customFormat="1" ht="14.25">
      <c r="A672" s="384"/>
      <c r="B672" s="384"/>
      <c r="C672" s="384"/>
      <c r="D672" s="384"/>
      <c r="E672" s="384"/>
      <c r="F672" s="384"/>
      <c r="G672" s="388"/>
      <c r="H672" s="389"/>
      <c r="I672" s="388"/>
      <c r="J672" s="391"/>
      <c r="K672" s="392"/>
      <c r="L672" s="392"/>
      <c r="M672" s="392"/>
      <c r="N672" s="388"/>
      <c r="O672" s="388"/>
      <c r="P672" s="392"/>
      <c r="Q672" s="394"/>
      <c r="R672" s="392"/>
      <c r="S672" s="395"/>
      <c r="T672" s="396"/>
      <c r="U672" s="396"/>
      <c r="V672" s="396"/>
      <c r="W672" s="396"/>
      <c r="X672" s="397"/>
      <c r="Y672" s="339"/>
      <c r="Z672" s="339"/>
      <c r="AA672" s="339"/>
    </row>
    <row r="673" spans="1:27" s="303" customFormat="1" ht="14.25">
      <c r="A673" s="384"/>
      <c r="B673" s="384"/>
      <c r="C673" s="384"/>
      <c r="D673" s="384"/>
      <c r="E673" s="384"/>
      <c r="F673" s="384"/>
      <c r="G673" s="387"/>
      <c r="H673" s="549"/>
      <c r="I673" s="387"/>
      <c r="J673" s="550"/>
      <c r="K673" s="551"/>
      <c r="L673" s="551"/>
      <c r="M673" s="551"/>
      <c r="N673" s="387"/>
      <c r="O673" s="387"/>
      <c r="P673" s="551"/>
      <c r="Q673" s="394"/>
      <c r="R673" s="551"/>
      <c r="S673" s="395"/>
      <c r="T673" s="395"/>
      <c r="U673" s="395"/>
      <c r="V673" s="395"/>
      <c r="W673" s="395"/>
      <c r="X673" s="622"/>
      <c r="Y673" s="458"/>
      <c r="Z673" s="458"/>
      <c r="AA673" s="458"/>
    </row>
    <row r="674" spans="1:27" s="303" customFormat="1" ht="14.25">
      <c r="A674" s="384"/>
      <c r="B674" s="384"/>
      <c r="C674" s="384"/>
      <c r="D674" s="384"/>
      <c r="E674" s="384"/>
      <c r="F674" s="384"/>
      <c r="G674" s="388"/>
      <c r="H674" s="389"/>
      <c r="I674" s="388"/>
      <c r="J674" s="391"/>
      <c r="K674" s="392"/>
      <c r="L674" s="392"/>
      <c r="M674" s="392"/>
      <c r="N674" s="388"/>
      <c r="O674" s="388"/>
      <c r="P674" s="392"/>
      <c r="Q674" s="394"/>
      <c r="R674" s="392"/>
      <c r="S674" s="395"/>
      <c r="T674" s="396"/>
      <c r="U674" s="396"/>
      <c r="V674" s="396"/>
      <c r="W674" s="396"/>
      <c r="X674" s="397"/>
      <c r="Y674" s="339"/>
      <c r="Z674" s="339"/>
      <c r="AA674" s="339"/>
    </row>
    <row r="675" spans="1:27" s="303" customFormat="1" ht="14.25">
      <c r="A675" s="384"/>
      <c r="B675" s="384"/>
      <c r="C675" s="384"/>
      <c r="D675" s="384"/>
      <c r="E675" s="384"/>
      <c r="F675" s="384"/>
      <c r="G675" s="387"/>
      <c r="H675" s="549"/>
      <c r="I675" s="387"/>
      <c r="J675" s="550"/>
      <c r="K675" s="551"/>
      <c r="L675" s="551"/>
      <c r="M675" s="551"/>
      <c r="N675" s="387"/>
      <c r="O675" s="387"/>
      <c r="P675" s="551"/>
      <c r="Q675" s="394"/>
      <c r="R675" s="551"/>
      <c r="S675" s="395"/>
      <c r="T675" s="395"/>
      <c r="U675" s="395"/>
      <c r="V675" s="395"/>
      <c r="W675" s="395"/>
      <c r="X675" s="622"/>
      <c r="Y675" s="458"/>
      <c r="Z675" s="458"/>
      <c r="AA675" s="458"/>
    </row>
    <row r="676" spans="1:27" s="303" customFormat="1" ht="14.25">
      <c r="A676" s="384"/>
      <c r="B676" s="384"/>
      <c r="C676" s="384"/>
      <c r="D676" s="384"/>
      <c r="E676" s="384"/>
      <c r="F676" s="384"/>
      <c r="G676" s="388"/>
      <c r="H676" s="389"/>
      <c r="I676" s="388"/>
      <c r="J676" s="391"/>
      <c r="K676" s="392"/>
      <c r="L676" s="392"/>
      <c r="M676" s="392"/>
      <c r="N676" s="388"/>
      <c r="O676" s="388"/>
      <c r="P676" s="392"/>
      <c r="Q676" s="394"/>
      <c r="R676" s="392"/>
      <c r="S676" s="395"/>
      <c r="T676" s="396"/>
      <c r="U676" s="396"/>
      <c r="V676" s="396"/>
      <c r="W676" s="396"/>
      <c r="X676" s="397"/>
      <c r="Y676" s="339"/>
      <c r="Z676" s="339"/>
      <c r="AA676" s="339"/>
    </row>
    <row r="677" spans="1:27" s="303" customFormat="1" ht="14.25">
      <c r="A677" s="384"/>
      <c r="B677" s="384"/>
      <c r="C677" s="384"/>
      <c r="D677" s="384"/>
      <c r="E677" s="384"/>
      <c r="F677" s="384"/>
      <c r="G677" s="387"/>
      <c r="H677" s="549"/>
      <c r="I677" s="387"/>
      <c r="J677" s="550"/>
      <c r="K677" s="551"/>
      <c r="L677" s="551"/>
      <c r="M677" s="551"/>
      <c r="N677" s="387"/>
      <c r="O677" s="387"/>
      <c r="P677" s="551"/>
      <c r="Q677" s="394"/>
      <c r="R677" s="551"/>
      <c r="S677" s="395"/>
      <c r="T677" s="395"/>
      <c r="U677" s="395"/>
      <c r="V677" s="395"/>
      <c r="W677" s="395"/>
      <c r="X677" s="622"/>
      <c r="Y677" s="458"/>
      <c r="Z677" s="458"/>
      <c r="AA677" s="458"/>
    </row>
    <row r="678" spans="1:27" s="303" customFormat="1" ht="14.25">
      <c r="A678" s="384"/>
      <c r="B678" s="384"/>
      <c r="C678" s="384"/>
      <c r="D678" s="384"/>
      <c r="E678" s="384"/>
      <c r="F678" s="384"/>
      <c r="G678" s="388"/>
      <c r="H678" s="389"/>
      <c r="I678" s="388"/>
      <c r="J678" s="391"/>
      <c r="K678" s="392"/>
      <c r="L678" s="392"/>
      <c r="M678" s="392"/>
      <c r="N678" s="388"/>
      <c r="O678" s="388"/>
      <c r="P678" s="392"/>
      <c r="Q678" s="394"/>
      <c r="R678" s="392"/>
      <c r="S678" s="395"/>
      <c r="T678" s="396"/>
      <c r="U678" s="396"/>
      <c r="V678" s="396"/>
      <c r="W678" s="396"/>
      <c r="X678" s="397"/>
      <c r="Y678" s="339"/>
      <c r="Z678" s="339"/>
      <c r="AA678" s="339"/>
    </row>
    <row r="679" spans="1:27" s="303" customFormat="1" ht="14.25">
      <c r="A679" s="384"/>
      <c r="B679" s="384"/>
      <c r="C679" s="384"/>
      <c r="D679" s="384"/>
      <c r="E679" s="384"/>
      <c r="F679" s="384"/>
      <c r="G679" s="387"/>
      <c r="H679" s="549"/>
      <c r="I679" s="387"/>
      <c r="J679" s="550"/>
      <c r="K679" s="551"/>
      <c r="L679" s="551"/>
      <c r="M679" s="551"/>
      <c r="N679" s="387"/>
      <c r="O679" s="387"/>
      <c r="P679" s="551"/>
      <c r="Q679" s="394"/>
      <c r="R679" s="551"/>
      <c r="S679" s="395"/>
      <c r="T679" s="395"/>
      <c r="U679" s="395"/>
      <c r="V679" s="395"/>
      <c r="W679" s="395"/>
      <c r="X679" s="622"/>
      <c r="Y679" s="458"/>
      <c r="Z679" s="458"/>
      <c r="AA679" s="458"/>
    </row>
    <row r="680" spans="1:27" s="303" customFormat="1" ht="14.25">
      <c r="A680" s="384"/>
      <c r="B680" s="384"/>
      <c r="C680" s="384"/>
      <c r="D680" s="384"/>
      <c r="E680" s="384"/>
      <c r="F680" s="384"/>
      <c r="G680" s="388"/>
      <c r="H680" s="389"/>
      <c r="I680" s="388"/>
      <c r="J680" s="391"/>
      <c r="K680" s="392"/>
      <c r="L680" s="392"/>
      <c r="M680" s="392"/>
      <c r="N680" s="388"/>
      <c r="O680" s="388"/>
      <c r="P680" s="392"/>
      <c r="Q680" s="394"/>
      <c r="R680" s="392"/>
      <c r="S680" s="395"/>
      <c r="T680" s="396"/>
      <c r="U680" s="396"/>
      <c r="V680" s="396"/>
      <c r="W680" s="396"/>
      <c r="X680" s="397"/>
      <c r="Y680" s="339"/>
      <c r="Z680" s="339"/>
      <c r="AA680" s="339"/>
    </row>
    <row r="681" spans="1:27" s="303" customFormat="1" ht="14.25">
      <c r="A681" s="384"/>
      <c r="B681" s="384"/>
      <c r="C681" s="384"/>
      <c r="D681" s="384"/>
      <c r="E681" s="384"/>
      <c r="F681" s="384"/>
      <c r="G681" s="387"/>
      <c r="H681" s="549"/>
      <c r="I681" s="387"/>
      <c r="J681" s="550"/>
      <c r="K681" s="551"/>
      <c r="L681" s="551"/>
      <c r="M681" s="551"/>
      <c r="N681" s="387"/>
      <c r="O681" s="387"/>
      <c r="P681" s="551"/>
      <c r="Q681" s="394"/>
      <c r="R681" s="551"/>
      <c r="S681" s="395"/>
      <c r="T681" s="395"/>
      <c r="U681" s="395"/>
      <c r="V681" s="395"/>
      <c r="W681" s="395"/>
      <c r="X681" s="622"/>
      <c r="Y681" s="458"/>
      <c r="Z681" s="458"/>
      <c r="AA681" s="458"/>
    </row>
    <row r="682" spans="1:27" s="303" customFormat="1" ht="14.25">
      <c r="A682" s="384"/>
      <c r="B682" s="384"/>
      <c r="C682" s="384"/>
      <c r="D682" s="384"/>
      <c r="E682" s="384"/>
      <c r="F682" s="384"/>
      <c r="G682" s="388"/>
      <c r="H682" s="389"/>
      <c r="I682" s="388"/>
      <c r="J682" s="391"/>
      <c r="K682" s="392"/>
      <c r="L682" s="392"/>
      <c r="M682" s="392"/>
      <c r="N682" s="388"/>
      <c r="O682" s="388"/>
      <c r="P682" s="392"/>
      <c r="Q682" s="394"/>
      <c r="R682" s="392"/>
      <c r="S682" s="395"/>
      <c r="T682" s="396"/>
      <c r="U682" s="396"/>
      <c r="V682" s="396"/>
      <c r="W682" s="396"/>
      <c r="X682" s="397"/>
      <c r="Y682" s="339"/>
      <c r="Z682" s="339"/>
      <c r="AA682" s="339"/>
    </row>
    <row r="683" spans="1:27" s="303" customFormat="1" ht="14.25">
      <c r="A683" s="384"/>
      <c r="B683" s="384"/>
      <c r="C683" s="384"/>
      <c r="D683" s="384"/>
      <c r="E683" s="384"/>
      <c r="F683" s="384"/>
      <c r="G683" s="387"/>
      <c r="H683" s="549"/>
      <c r="I683" s="387"/>
      <c r="J683" s="550"/>
      <c r="K683" s="551"/>
      <c r="L683" s="551"/>
      <c r="M683" s="551"/>
      <c r="N683" s="387"/>
      <c r="O683" s="387"/>
      <c r="P683" s="551"/>
      <c r="Q683" s="394"/>
      <c r="R683" s="551"/>
      <c r="S683" s="395"/>
      <c r="T683" s="395"/>
      <c r="U683" s="395"/>
      <c r="V683" s="395"/>
      <c r="W683" s="395"/>
      <c r="X683" s="622"/>
      <c r="Y683" s="458"/>
      <c r="Z683" s="458"/>
      <c r="AA683" s="458"/>
    </row>
    <row r="684" spans="1:27" s="303" customFormat="1" ht="14.25">
      <c r="A684" s="384"/>
      <c r="B684" s="384"/>
      <c r="C684" s="384"/>
      <c r="D684" s="384"/>
      <c r="E684" s="384"/>
      <c r="F684" s="384"/>
      <c r="G684" s="388"/>
      <c r="H684" s="389"/>
      <c r="I684" s="388"/>
      <c r="J684" s="391"/>
      <c r="K684" s="392"/>
      <c r="L684" s="392"/>
      <c r="M684" s="392"/>
      <c r="N684" s="388"/>
      <c r="O684" s="388"/>
      <c r="P684" s="392"/>
      <c r="Q684" s="394"/>
      <c r="R684" s="392"/>
      <c r="S684" s="395"/>
      <c r="T684" s="396"/>
      <c r="U684" s="396"/>
      <c r="V684" s="396"/>
      <c r="W684" s="396"/>
      <c r="X684" s="397"/>
      <c r="Y684" s="339"/>
      <c r="Z684" s="339"/>
      <c r="AA684" s="339"/>
    </row>
    <row r="685" spans="1:27" s="303" customFormat="1" ht="14.25">
      <c r="A685" s="384"/>
      <c r="B685" s="384"/>
      <c r="C685" s="384"/>
      <c r="D685" s="384"/>
      <c r="E685" s="384"/>
      <c r="F685" s="384"/>
      <c r="G685" s="387"/>
      <c r="H685" s="549"/>
      <c r="I685" s="387"/>
      <c r="J685" s="550"/>
      <c r="K685" s="551"/>
      <c r="L685" s="551"/>
      <c r="M685" s="551"/>
      <c r="N685" s="387"/>
      <c r="O685" s="387"/>
      <c r="P685" s="551"/>
      <c r="Q685" s="394"/>
      <c r="R685" s="551"/>
      <c r="S685" s="395"/>
      <c r="T685" s="395"/>
      <c r="U685" s="395"/>
      <c r="V685" s="395"/>
      <c r="W685" s="395"/>
      <c r="X685" s="622"/>
      <c r="Y685" s="458"/>
      <c r="Z685" s="458"/>
      <c r="AA685" s="458"/>
    </row>
    <row r="686" spans="1:27" s="303" customFormat="1" ht="14.25">
      <c r="A686" s="384"/>
      <c r="B686" s="384"/>
      <c r="C686" s="384"/>
      <c r="D686" s="384"/>
      <c r="E686" s="384"/>
      <c r="F686" s="384"/>
      <c r="G686" s="388"/>
      <c r="H686" s="389"/>
      <c r="I686" s="388"/>
      <c r="J686" s="391"/>
      <c r="K686" s="392"/>
      <c r="L686" s="392"/>
      <c r="M686" s="392"/>
      <c r="N686" s="388"/>
      <c r="O686" s="388"/>
      <c r="P686" s="392"/>
      <c r="Q686" s="394"/>
      <c r="R686" s="392"/>
      <c r="S686" s="395"/>
      <c r="T686" s="396"/>
      <c r="U686" s="396"/>
      <c r="V686" s="396"/>
      <c r="W686" s="396"/>
      <c r="X686" s="397"/>
      <c r="Y686" s="339"/>
      <c r="Z686" s="339"/>
      <c r="AA686" s="339"/>
    </row>
    <row r="687" spans="1:27" s="303" customFormat="1" ht="14.25">
      <c r="A687" s="384"/>
      <c r="B687" s="384"/>
      <c r="C687" s="384"/>
      <c r="D687" s="384"/>
      <c r="E687" s="384"/>
      <c r="F687" s="384"/>
      <c r="G687" s="387"/>
      <c r="H687" s="549"/>
      <c r="I687" s="387"/>
      <c r="J687" s="550"/>
      <c r="K687" s="551"/>
      <c r="L687" s="551"/>
      <c r="M687" s="551"/>
      <c r="N687" s="387"/>
      <c r="O687" s="387"/>
      <c r="P687" s="551"/>
      <c r="Q687" s="394"/>
      <c r="R687" s="551"/>
      <c r="S687" s="395"/>
      <c r="T687" s="395"/>
      <c r="U687" s="395"/>
      <c r="V687" s="395"/>
      <c r="W687" s="395"/>
      <c r="X687" s="622"/>
      <c r="Y687" s="458"/>
      <c r="Z687" s="458"/>
      <c r="AA687" s="458"/>
    </row>
    <row r="688" spans="1:27" s="303" customFormat="1" ht="14.25">
      <c r="A688" s="384"/>
      <c r="B688" s="384"/>
      <c r="C688" s="384"/>
      <c r="D688" s="384"/>
      <c r="E688" s="384"/>
      <c r="F688" s="384"/>
      <c r="G688" s="387"/>
      <c r="H688" s="549"/>
      <c r="I688" s="387"/>
      <c r="J688" s="550"/>
      <c r="K688" s="551"/>
      <c r="L688" s="551"/>
      <c r="M688" s="551"/>
      <c r="N688" s="387"/>
      <c r="O688" s="387"/>
      <c r="P688" s="551"/>
      <c r="Q688" s="394"/>
      <c r="R688" s="551"/>
      <c r="S688" s="395"/>
      <c r="T688" s="395"/>
      <c r="U688" s="395"/>
      <c r="V688" s="395"/>
      <c r="W688" s="395"/>
      <c r="X688" s="622"/>
      <c r="Y688" s="458"/>
      <c r="Z688" s="458"/>
      <c r="AA688" s="458"/>
    </row>
    <row r="689" spans="1:27" s="303" customFormat="1" ht="14.25">
      <c r="A689" s="384"/>
      <c r="B689" s="384"/>
      <c r="C689" s="384"/>
      <c r="D689" s="384"/>
      <c r="E689" s="384"/>
      <c r="F689" s="384"/>
      <c r="G689" s="387"/>
      <c r="H689" s="549"/>
      <c r="I689" s="387"/>
      <c r="J689" s="550"/>
      <c r="K689" s="551"/>
      <c r="L689" s="551"/>
      <c r="M689" s="551"/>
      <c r="N689" s="387"/>
      <c r="O689" s="387"/>
      <c r="P689" s="551"/>
      <c r="Q689" s="394"/>
      <c r="R689" s="551"/>
      <c r="S689" s="395"/>
      <c r="T689" s="395"/>
      <c r="U689" s="395"/>
      <c r="V689" s="395"/>
      <c r="W689" s="395"/>
      <c r="X689" s="622"/>
      <c r="Y689" s="458"/>
      <c r="Z689" s="458"/>
      <c r="AA689" s="458"/>
    </row>
    <row r="690" spans="1:27" s="303" customFormat="1" ht="14.25">
      <c r="A690" s="384"/>
      <c r="B690" s="384"/>
      <c r="C690" s="384"/>
      <c r="D690" s="384"/>
      <c r="E690" s="384"/>
      <c r="F690" s="384"/>
      <c r="G690" s="388"/>
      <c r="H690" s="389"/>
      <c r="I690" s="388"/>
      <c r="J690" s="391"/>
      <c r="K690" s="392"/>
      <c r="L690" s="392"/>
      <c r="M690" s="392"/>
      <c r="N690" s="388"/>
      <c r="O690" s="388"/>
      <c r="P690" s="392"/>
      <c r="Q690" s="394"/>
      <c r="R690" s="392"/>
      <c r="S690" s="395"/>
      <c r="T690" s="396"/>
      <c r="U690" s="396"/>
      <c r="V690" s="396"/>
      <c r="W690" s="396"/>
      <c r="X690" s="397"/>
      <c r="Y690" s="339"/>
      <c r="Z690" s="339"/>
      <c r="AA690" s="339"/>
    </row>
    <row r="691" spans="1:27" s="303" customFormat="1" ht="14.25">
      <c r="A691" s="384"/>
      <c r="B691" s="384"/>
      <c r="C691" s="384"/>
      <c r="D691" s="384"/>
      <c r="E691" s="384"/>
      <c r="F691" s="384"/>
      <c r="G691" s="387"/>
      <c r="H691" s="549"/>
      <c r="I691" s="387"/>
      <c r="J691" s="550"/>
      <c r="K691" s="551"/>
      <c r="L691" s="551"/>
      <c r="M691" s="551"/>
      <c r="N691" s="387"/>
      <c r="O691" s="387"/>
      <c r="P691" s="551"/>
      <c r="Q691" s="394"/>
      <c r="R691" s="551"/>
      <c r="S691" s="395"/>
      <c r="T691" s="395"/>
      <c r="U691" s="395"/>
      <c r="V691" s="395"/>
      <c r="W691" s="395"/>
      <c r="X691" s="622"/>
      <c r="Y691" s="458"/>
      <c r="Z691" s="458"/>
      <c r="AA691" s="458"/>
    </row>
    <row r="692" spans="1:27" s="303" customFormat="1" ht="14.25">
      <c r="A692" s="384"/>
      <c r="B692" s="384"/>
      <c r="C692" s="384"/>
      <c r="D692" s="384"/>
      <c r="E692" s="384"/>
      <c r="F692" s="384"/>
      <c r="G692" s="387"/>
      <c r="H692" s="549"/>
      <c r="I692" s="387"/>
      <c r="J692" s="550"/>
      <c r="K692" s="551"/>
      <c r="L692" s="551"/>
      <c r="M692" s="551"/>
      <c r="N692" s="387"/>
      <c r="O692" s="387"/>
      <c r="P692" s="551"/>
      <c r="Q692" s="394"/>
      <c r="R692" s="551"/>
      <c r="S692" s="395"/>
      <c r="T692" s="395"/>
      <c r="U692" s="395"/>
      <c r="V692" s="395"/>
      <c r="W692" s="395"/>
      <c r="X692" s="622"/>
      <c r="Y692" s="458"/>
      <c r="Z692" s="458"/>
      <c r="AA692" s="458"/>
    </row>
    <row r="693" spans="1:27" s="303" customFormat="1" ht="14.25">
      <c r="A693" s="384"/>
      <c r="B693" s="384"/>
      <c r="C693" s="384"/>
      <c r="D693" s="384"/>
      <c r="E693" s="384"/>
      <c r="F693" s="384"/>
      <c r="G693" s="387"/>
      <c r="H693" s="549"/>
      <c r="I693" s="387"/>
      <c r="J693" s="550"/>
      <c r="K693" s="551"/>
      <c r="L693" s="551"/>
      <c r="M693" s="551"/>
      <c r="N693" s="387"/>
      <c r="O693" s="387"/>
      <c r="P693" s="551"/>
      <c r="Q693" s="394"/>
      <c r="R693" s="551"/>
      <c r="S693" s="395"/>
      <c r="T693" s="395"/>
      <c r="U693" s="395"/>
      <c r="V693" s="395"/>
      <c r="W693" s="395"/>
      <c r="X693" s="622"/>
      <c r="Y693" s="458"/>
      <c r="Z693" s="458"/>
      <c r="AA693" s="458"/>
    </row>
    <row r="694" spans="1:27" s="303" customFormat="1" ht="14.25">
      <c r="A694" s="384"/>
      <c r="B694" s="384"/>
      <c r="C694" s="384"/>
      <c r="D694" s="384"/>
      <c r="E694" s="384"/>
      <c r="F694" s="384"/>
      <c r="G694" s="388"/>
      <c r="H694" s="389"/>
      <c r="I694" s="388"/>
      <c r="J694" s="391"/>
      <c r="K694" s="392"/>
      <c r="L694" s="392"/>
      <c r="M694" s="392"/>
      <c r="N694" s="388"/>
      <c r="O694" s="388"/>
      <c r="P694" s="392"/>
      <c r="Q694" s="394"/>
      <c r="R694" s="392"/>
      <c r="S694" s="395"/>
      <c r="T694" s="396"/>
      <c r="U694" s="396"/>
      <c r="V694" s="396"/>
      <c r="W694" s="396"/>
      <c r="X694" s="397"/>
      <c r="Y694" s="339"/>
      <c r="Z694" s="339"/>
      <c r="AA694" s="339"/>
    </row>
    <row r="695" spans="1:27" s="303" customFormat="1" ht="14.25">
      <c r="A695" s="384"/>
      <c r="B695" s="384"/>
      <c r="C695" s="384"/>
      <c r="D695" s="384"/>
      <c r="E695" s="384"/>
      <c r="F695" s="384"/>
      <c r="G695" s="387"/>
      <c r="H695" s="549"/>
      <c r="I695" s="387"/>
      <c r="J695" s="550"/>
      <c r="K695" s="551"/>
      <c r="L695" s="551"/>
      <c r="M695" s="551"/>
      <c r="N695" s="387"/>
      <c r="O695" s="387"/>
      <c r="P695" s="551"/>
      <c r="Q695" s="394"/>
      <c r="R695" s="551"/>
      <c r="S695" s="395"/>
      <c r="T695" s="395"/>
      <c r="U695" s="395"/>
      <c r="V695" s="395"/>
      <c r="W695" s="395"/>
      <c r="X695" s="622"/>
      <c r="Y695" s="458"/>
      <c r="Z695" s="458"/>
      <c r="AA695" s="458"/>
    </row>
    <row r="696" spans="1:27" s="303" customFormat="1" ht="14.25">
      <c r="A696" s="384"/>
      <c r="B696" s="384"/>
      <c r="C696" s="384"/>
      <c r="D696" s="384"/>
      <c r="E696" s="384"/>
      <c r="F696" s="384"/>
      <c r="G696" s="388"/>
      <c r="H696" s="389"/>
      <c r="I696" s="388"/>
      <c r="J696" s="391"/>
      <c r="K696" s="392"/>
      <c r="L696" s="392"/>
      <c r="M696" s="392"/>
      <c r="N696" s="388"/>
      <c r="O696" s="388"/>
      <c r="P696" s="392"/>
      <c r="Q696" s="394"/>
      <c r="R696" s="392"/>
      <c r="S696" s="395"/>
      <c r="T696" s="396"/>
      <c r="U696" s="396"/>
      <c r="V696" s="396"/>
      <c r="W696" s="396"/>
      <c r="X696" s="397"/>
      <c r="Y696" s="339"/>
      <c r="Z696" s="339"/>
      <c r="AA696" s="339"/>
    </row>
    <row r="697" spans="1:27" s="303" customFormat="1" ht="14.25">
      <c r="A697" s="384"/>
      <c r="B697" s="384"/>
      <c r="C697" s="384"/>
      <c r="D697" s="384"/>
      <c r="E697" s="384"/>
      <c r="F697" s="384"/>
      <c r="G697" s="387"/>
      <c r="H697" s="549"/>
      <c r="I697" s="387"/>
      <c r="J697" s="550"/>
      <c r="K697" s="551"/>
      <c r="L697" s="551"/>
      <c r="M697" s="551"/>
      <c r="N697" s="387"/>
      <c r="O697" s="387"/>
      <c r="P697" s="551"/>
      <c r="Q697" s="394"/>
      <c r="R697" s="551"/>
      <c r="S697" s="395"/>
      <c r="T697" s="395"/>
      <c r="U697" s="395"/>
      <c r="V697" s="395"/>
      <c r="W697" s="395"/>
      <c r="X697" s="622"/>
      <c r="Y697" s="458"/>
      <c r="Z697" s="458"/>
      <c r="AA697" s="458"/>
    </row>
    <row r="698" spans="1:27" s="303" customFormat="1" ht="14.25">
      <c r="A698" s="384"/>
      <c r="B698" s="384"/>
      <c r="C698" s="384"/>
      <c r="D698" s="384"/>
      <c r="E698" s="384"/>
      <c r="F698" s="384"/>
      <c r="G698" s="388"/>
      <c r="H698" s="389"/>
      <c r="I698" s="388"/>
      <c r="J698" s="391"/>
      <c r="K698" s="392"/>
      <c r="L698" s="392"/>
      <c r="M698" s="392"/>
      <c r="N698" s="388"/>
      <c r="O698" s="388"/>
      <c r="P698" s="392"/>
      <c r="Q698" s="394"/>
      <c r="R698" s="392"/>
      <c r="S698" s="395"/>
      <c r="T698" s="396"/>
      <c r="U698" s="396"/>
      <c r="V698" s="396"/>
      <c r="W698" s="396"/>
      <c r="X698" s="397"/>
      <c r="Y698" s="339"/>
      <c r="Z698" s="339"/>
      <c r="AA698" s="339"/>
    </row>
    <row r="699" spans="1:27" s="303" customFormat="1" ht="14.25">
      <c r="A699" s="384"/>
      <c r="B699" s="384"/>
      <c r="C699" s="384"/>
      <c r="D699" s="384"/>
      <c r="E699" s="384"/>
      <c r="F699" s="384"/>
      <c r="G699" s="387"/>
      <c r="H699" s="549"/>
      <c r="I699" s="387"/>
      <c r="J699" s="550"/>
      <c r="K699" s="551"/>
      <c r="L699" s="551"/>
      <c r="M699" s="551"/>
      <c r="N699" s="387"/>
      <c r="O699" s="387"/>
      <c r="P699" s="551"/>
      <c r="Q699" s="394"/>
      <c r="R699" s="551"/>
      <c r="S699" s="395"/>
      <c r="T699" s="395"/>
      <c r="U699" s="395"/>
      <c r="V699" s="395"/>
      <c r="W699" s="395"/>
      <c r="X699" s="622"/>
      <c r="Y699" s="458"/>
      <c r="Z699" s="458"/>
      <c r="AA699" s="458"/>
    </row>
    <row r="700" spans="1:27" s="303" customFormat="1" ht="14.25">
      <c r="A700" s="384"/>
      <c r="B700" s="384"/>
      <c r="C700" s="384"/>
      <c r="D700" s="384"/>
      <c r="E700" s="384"/>
      <c r="F700" s="384"/>
      <c r="G700" s="388"/>
      <c r="H700" s="389"/>
      <c r="I700" s="388"/>
      <c r="J700" s="391"/>
      <c r="K700" s="392"/>
      <c r="L700" s="392"/>
      <c r="M700" s="392"/>
      <c r="N700" s="388"/>
      <c r="O700" s="388"/>
      <c r="P700" s="392"/>
      <c r="Q700" s="394"/>
      <c r="R700" s="392"/>
      <c r="S700" s="395"/>
      <c r="T700" s="396"/>
      <c r="U700" s="396"/>
      <c r="V700" s="396"/>
      <c r="W700" s="396"/>
      <c r="X700" s="397"/>
      <c r="Y700" s="339"/>
      <c r="Z700" s="339"/>
      <c r="AA700" s="339"/>
    </row>
    <row r="701" spans="1:27" s="303" customFormat="1" ht="14.25">
      <c r="A701" s="384"/>
      <c r="B701" s="384"/>
      <c r="C701" s="384"/>
      <c r="D701" s="384"/>
      <c r="E701" s="384"/>
      <c r="F701" s="384"/>
      <c r="G701" s="387"/>
      <c r="H701" s="549"/>
      <c r="I701" s="387"/>
      <c r="J701" s="550"/>
      <c r="K701" s="551"/>
      <c r="L701" s="551"/>
      <c r="M701" s="551"/>
      <c r="N701" s="387"/>
      <c r="O701" s="387"/>
      <c r="P701" s="551"/>
      <c r="Q701" s="394"/>
      <c r="R701" s="551"/>
      <c r="S701" s="395"/>
      <c r="T701" s="395"/>
      <c r="U701" s="395"/>
      <c r="V701" s="395"/>
      <c r="W701" s="395"/>
      <c r="X701" s="622"/>
      <c r="Y701" s="458"/>
      <c r="Z701" s="458"/>
      <c r="AA701" s="458"/>
    </row>
    <row r="702" spans="1:27" s="303" customFormat="1" ht="14.25">
      <c r="A702" s="384"/>
      <c r="B702" s="384"/>
      <c r="C702" s="384"/>
      <c r="D702" s="384"/>
      <c r="E702" s="384"/>
      <c r="F702" s="384"/>
      <c r="G702" s="388"/>
      <c r="H702" s="389"/>
      <c r="I702" s="388"/>
      <c r="J702" s="391"/>
      <c r="K702" s="392"/>
      <c r="L702" s="392"/>
      <c r="M702" s="392"/>
      <c r="N702" s="388"/>
      <c r="O702" s="388"/>
      <c r="P702" s="392"/>
      <c r="Q702" s="394"/>
      <c r="R702" s="392"/>
      <c r="S702" s="395"/>
      <c r="T702" s="396"/>
      <c r="U702" s="396"/>
      <c r="V702" s="396"/>
      <c r="W702" s="396"/>
      <c r="X702" s="397"/>
      <c r="Y702" s="339"/>
      <c r="Z702" s="339"/>
      <c r="AA702" s="339"/>
    </row>
    <row r="703" spans="1:27" s="303" customFormat="1" ht="14.25">
      <c r="A703" s="384"/>
      <c r="B703" s="384"/>
      <c r="C703" s="384"/>
      <c r="D703" s="384"/>
      <c r="E703" s="384"/>
      <c r="F703" s="384"/>
      <c r="G703" s="387"/>
      <c r="H703" s="549"/>
      <c r="I703" s="387"/>
      <c r="J703" s="550"/>
      <c r="K703" s="551"/>
      <c r="L703" s="551"/>
      <c r="M703" s="551"/>
      <c r="N703" s="387"/>
      <c r="O703" s="387"/>
      <c r="P703" s="551"/>
      <c r="Q703" s="394"/>
      <c r="R703" s="551"/>
      <c r="S703" s="395"/>
      <c r="T703" s="395"/>
      <c r="U703" s="395"/>
      <c r="V703" s="395"/>
      <c r="W703" s="395"/>
      <c r="X703" s="622"/>
      <c r="Y703" s="458"/>
      <c r="Z703" s="458"/>
      <c r="AA703" s="458"/>
    </row>
    <row r="704" spans="1:27" s="303" customFormat="1" ht="14.25">
      <c r="A704" s="384"/>
      <c r="B704" s="384"/>
      <c r="C704" s="384"/>
      <c r="D704" s="384"/>
      <c r="E704" s="384"/>
      <c r="F704" s="384"/>
      <c r="G704" s="388"/>
      <c r="H704" s="389"/>
      <c r="I704" s="388"/>
      <c r="J704" s="391"/>
      <c r="K704" s="392"/>
      <c r="L704" s="392"/>
      <c r="M704" s="392"/>
      <c r="N704" s="388"/>
      <c r="O704" s="388"/>
      <c r="P704" s="392"/>
      <c r="Q704" s="394"/>
      <c r="R704" s="392"/>
      <c r="S704" s="395"/>
      <c r="T704" s="396"/>
      <c r="U704" s="396"/>
      <c r="V704" s="396"/>
      <c r="W704" s="396"/>
      <c r="X704" s="397"/>
      <c r="Y704" s="339"/>
      <c r="Z704" s="339"/>
      <c r="AA704" s="339"/>
    </row>
    <row r="705" spans="1:27" s="303" customFormat="1" ht="14.25">
      <c r="A705" s="384"/>
      <c r="B705" s="384"/>
      <c r="C705" s="384"/>
      <c r="D705" s="384"/>
      <c r="E705" s="384"/>
      <c r="F705" s="384"/>
      <c r="G705" s="387"/>
      <c r="H705" s="549"/>
      <c r="I705" s="387"/>
      <c r="J705" s="550"/>
      <c r="K705" s="551"/>
      <c r="L705" s="551"/>
      <c r="M705" s="551"/>
      <c r="N705" s="387"/>
      <c r="O705" s="387"/>
      <c r="P705" s="551"/>
      <c r="Q705" s="394"/>
      <c r="R705" s="551"/>
      <c r="S705" s="395"/>
      <c r="T705" s="395"/>
      <c r="U705" s="395"/>
      <c r="V705" s="395"/>
      <c r="W705" s="395"/>
      <c r="X705" s="622"/>
      <c r="Y705" s="458"/>
      <c r="Z705" s="458"/>
      <c r="AA705" s="458"/>
    </row>
    <row r="706" spans="1:27" s="303" customFormat="1" ht="14.25">
      <c r="A706" s="384"/>
      <c r="B706" s="384"/>
      <c r="C706" s="384"/>
      <c r="D706" s="384"/>
      <c r="E706" s="384"/>
      <c r="F706" s="384"/>
      <c r="G706" s="388"/>
      <c r="H706" s="389"/>
      <c r="I706" s="388"/>
      <c r="J706" s="391"/>
      <c r="K706" s="392"/>
      <c r="L706" s="392"/>
      <c r="M706" s="392"/>
      <c r="N706" s="388"/>
      <c r="O706" s="388"/>
      <c r="P706" s="392"/>
      <c r="Q706" s="394"/>
      <c r="R706" s="392"/>
      <c r="S706" s="395"/>
      <c r="T706" s="396"/>
      <c r="U706" s="396"/>
      <c r="V706" s="396"/>
      <c r="W706" s="396"/>
      <c r="X706" s="397"/>
      <c r="Y706" s="339"/>
      <c r="Z706" s="339"/>
      <c r="AA706" s="339"/>
    </row>
    <row r="707" spans="1:27" s="303" customFormat="1" ht="14.25">
      <c r="A707" s="384"/>
      <c r="B707" s="384"/>
      <c r="C707" s="384"/>
      <c r="D707" s="384"/>
      <c r="E707" s="384"/>
      <c r="F707" s="384"/>
      <c r="G707" s="387"/>
      <c r="H707" s="549"/>
      <c r="I707" s="387"/>
      <c r="J707" s="550"/>
      <c r="K707" s="551"/>
      <c r="L707" s="551"/>
      <c r="M707" s="551"/>
      <c r="N707" s="387"/>
      <c r="O707" s="387"/>
      <c r="P707" s="551"/>
      <c r="Q707" s="394"/>
      <c r="R707" s="551"/>
      <c r="S707" s="395"/>
      <c r="T707" s="395"/>
      <c r="U707" s="395"/>
      <c r="V707" s="395"/>
      <c r="W707" s="395"/>
      <c r="X707" s="622"/>
      <c r="Y707" s="458"/>
      <c r="Z707" s="458"/>
      <c r="AA707" s="458"/>
    </row>
    <row r="708" spans="1:27" s="303" customFormat="1" ht="14.25">
      <c r="A708" s="384"/>
      <c r="B708" s="384"/>
      <c r="C708" s="384"/>
      <c r="D708" s="384"/>
      <c r="E708" s="384"/>
      <c r="F708" s="384"/>
      <c r="G708" s="388"/>
      <c r="H708" s="389"/>
      <c r="I708" s="388"/>
      <c r="J708" s="391"/>
      <c r="K708" s="392"/>
      <c r="L708" s="392"/>
      <c r="M708" s="392"/>
      <c r="N708" s="388"/>
      <c r="O708" s="388"/>
      <c r="P708" s="392"/>
      <c r="Q708" s="394"/>
      <c r="R708" s="392"/>
      <c r="S708" s="395"/>
      <c r="T708" s="396"/>
      <c r="U708" s="396"/>
      <c r="V708" s="396"/>
      <c r="W708" s="396"/>
      <c r="X708" s="397"/>
      <c r="Y708" s="339"/>
      <c r="Z708" s="339"/>
      <c r="AA708" s="339"/>
    </row>
    <row r="709" spans="1:27" s="303" customFormat="1" ht="14.25">
      <c r="A709" s="384"/>
      <c r="B709" s="384"/>
      <c r="C709" s="384"/>
      <c r="D709" s="384"/>
      <c r="E709" s="384"/>
      <c r="F709" s="384"/>
      <c r="G709" s="387"/>
      <c r="H709" s="549"/>
      <c r="I709" s="387"/>
      <c r="J709" s="550"/>
      <c r="K709" s="551"/>
      <c r="L709" s="551"/>
      <c r="M709" s="551"/>
      <c r="N709" s="387"/>
      <c r="O709" s="387"/>
      <c r="P709" s="551"/>
      <c r="Q709" s="394"/>
      <c r="R709" s="551"/>
      <c r="S709" s="395"/>
      <c r="T709" s="395"/>
      <c r="U709" s="395"/>
      <c r="V709" s="395"/>
      <c r="W709" s="395"/>
      <c r="X709" s="622"/>
      <c r="Y709" s="458"/>
      <c r="Z709" s="458"/>
      <c r="AA709" s="458"/>
    </row>
    <row r="710" spans="1:27" s="303" customFormat="1" ht="14.25">
      <c r="A710" s="384"/>
      <c r="B710" s="384"/>
      <c r="C710" s="384"/>
      <c r="D710" s="384"/>
      <c r="E710" s="384"/>
      <c r="F710" s="384"/>
      <c r="G710" s="388"/>
      <c r="H710" s="389"/>
      <c r="I710" s="388"/>
      <c r="J710" s="391"/>
      <c r="K710" s="392"/>
      <c r="L710" s="392"/>
      <c r="M710" s="392"/>
      <c r="N710" s="388"/>
      <c r="O710" s="388"/>
      <c r="P710" s="392"/>
      <c r="Q710" s="394"/>
      <c r="R710" s="392"/>
      <c r="S710" s="395"/>
      <c r="T710" s="396"/>
      <c r="U710" s="396"/>
      <c r="V710" s="396"/>
      <c r="W710" s="396"/>
      <c r="X710" s="397"/>
      <c r="Y710" s="339"/>
      <c r="Z710" s="339"/>
      <c r="AA710" s="339"/>
    </row>
    <row r="711" spans="1:27" s="303" customFormat="1" ht="14.25">
      <c r="A711" s="384"/>
      <c r="B711" s="384"/>
      <c r="C711" s="384"/>
      <c r="D711" s="384"/>
      <c r="E711" s="384"/>
      <c r="F711" s="384"/>
      <c r="G711" s="387"/>
      <c r="H711" s="549"/>
      <c r="I711" s="387"/>
      <c r="J711" s="550"/>
      <c r="K711" s="551"/>
      <c r="L711" s="551"/>
      <c r="M711" s="551"/>
      <c r="N711" s="387"/>
      <c r="O711" s="387"/>
      <c r="P711" s="551"/>
      <c r="Q711" s="394"/>
      <c r="R711" s="551"/>
      <c r="S711" s="395"/>
      <c r="T711" s="395"/>
      <c r="U711" s="395"/>
      <c r="V711" s="395"/>
      <c r="W711" s="395"/>
      <c r="X711" s="622"/>
      <c r="Y711" s="458"/>
      <c r="Z711" s="458"/>
      <c r="AA711" s="458"/>
    </row>
    <row r="712" spans="1:27" s="303" customFormat="1" ht="14.25">
      <c r="A712" s="384"/>
      <c r="B712" s="384"/>
      <c r="C712" s="384"/>
      <c r="D712" s="384"/>
      <c r="E712" s="384"/>
      <c r="F712" s="384"/>
      <c r="G712" s="388"/>
      <c r="H712" s="389"/>
      <c r="I712" s="388"/>
      <c r="J712" s="391"/>
      <c r="K712" s="392"/>
      <c r="L712" s="392"/>
      <c r="M712" s="392"/>
      <c r="N712" s="388"/>
      <c r="O712" s="388"/>
      <c r="P712" s="392"/>
      <c r="Q712" s="394"/>
      <c r="R712" s="392"/>
      <c r="S712" s="395"/>
      <c r="T712" s="396"/>
      <c r="U712" s="396"/>
      <c r="V712" s="396"/>
      <c r="W712" s="396"/>
      <c r="X712" s="397"/>
      <c r="Y712" s="339"/>
      <c r="Z712" s="339"/>
      <c r="AA712" s="339"/>
    </row>
    <row r="713" spans="1:27" s="303" customFormat="1" ht="14.25">
      <c r="A713" s="384"/>
      <c r="B713" s="384"/>
      <c r="C713" s="384"/>
      <c r="D713" s="384"/>
      <c r="E713" s="384"/>
      <c r="F713" s="384"/>
      <c r="G713" s="387"/>
      <c r="H713" s="549"/>
      <c r="I713" s="387"/>
      <c r="J713" s="550"/>
      <c r="K713" s="551"/>
      <c r="L713" s="551"/>
      <c r="M713" s="551"/>
      <c r="N713" s="387"/>
      <c r="O713" s="387"/>
      <c r="P713" s="551"/>
      <c r="Q713" s="394"/>
      <c r="R713" s="551"/>
      <c r="S713" s="395"/>
      <c r="T713" s="395"/>
      <c r="U713" s="395"/>
      <c r="V713" s="395"/>
      <c r="W713" s="395"/>
      <c r="X713" s="622"/>
      <c r="Y713" s="458"/>
      <c r="Z713" s="458"/>
      <c r="AA713" s="458"/>
    </row>
    <row r="714" spans="1:27" s="303" customFormat="1" ht="14.25">
      <c r="A714" s="384"/>
      <c r="B714" s="384"/>
      <c r="C714" s="384"/>
      <c r="D714" s="384"/>
      <c r="E714" s="384"/>
      <c r="F714" s="384"/>
      <c r="G714" s="388"/>
      <c r="H714" s="389"/>
      <c r="I714" s="388"/>
      <c r="J714" s="391"/>
      <c r="K714" s="392"/>
      <c r="L714" s="392"/>
      <c r="M714" s="392"/>
      <c r="N714" s="388"/>
      <c r="O714" s="388"/>
      <c r="P714" s="392"/>
      <c r="Q714" s="394"/>
      <c r="R714" s="392"/>
      <c r="S714" s="395"/>
      <c r="T714" s="396"/>
      <c r="U714" s="396"/>
      <c r="V714" s="396"/>
      <c r="W714" s="396"/>
      <c r="X714" s="397"/>
      <c r="Y714" s="339"/>
      <c r="Z714" s="339"/>
      <c r="AA714" s="339"/>
    </row>
    <row r="715" spans="1:27" s="303" customFormat="1" ht="14.25">
      <c r="A715" s="384"/>
      <c r="B715" s="384"/>
      <c r="C715" s="384"/>
      <c r="D715" s="384"/>
      <c r="E715" s="384"/>
      <c r="F715" s="384"/>
      <c r="G715" s="387"/>
      <c r="H715" s="549"/>
      <c r="I715" s="387"/>
      <c r="J715" s="550"/>
      <c r="K715" s="551"/>
      <c r="L715" s="551"/>
      <c r="M715" s="551"/>
      <c r="N715" s="387"/>
      <c r="O715" s="387"/>
      <c r="P715" s="551"/>
      <c r="Q715" s="394"/>
      <c r="R715" s="551"/>
      <c r="S715" s="395"/>
      <c r="T715" s="395"/>
      <c r="U715" s="395"/>
      <c r="V715" s="395"/>
      <c r="W715" s="395"/>
      <c r="X715" s="622"/>
      <c r="Y715" s="458"/>
      <c r="Z715" s="458"/>
      <c r="AA715" s="458"/>
    </row>
    <row r="716" spans="1:27" s="303" customFormat="1" ht="14.25">
      <c r="A716" s="384"/>
      <c r="B716" s="384"/>
      <c r="C716" s="384"/>
      <c r="D716" s="384"/>
      <c r="E716" s="384"/>
      <c r="F716" s="384"/>
      <c r="G716" s="388"/>
      <c r="H716" s="389"/>
      <c r="I716" s="388"/>
      <c r="J716" s="391"/>
      <c r="K716" s="392"/>
      <c r="L716" s="392"/>
      <c r="M716" s="392"/>
      <c r="N716" s="388"/>
      <c r="O716" s="388"/>
      <c r="P716" s="392"/>
      <c r="Q716" s="394"/>
      <c r="R716" s="392"/>
      <c r="S716" s="395"/>
      <c r="T716" s="396"/>
      <c r="U716" s="396"/>
      <c r="V716" s="396"/>
      <c r="W716" s="396"/>
      <c r="X716" s="397"/>
      <c r="Y716" s="339"/>
      <c r="Z716" s="339"/>
      <c r="AA716" s="339"/>
    </row>
    <row r="717" spans="1:27" s="303" customFormat="1" ht="14.25">
      <c r="A717" s="384"/>
      <c r="B717" s="384"/>
      <c r="C717" s="384"/>
      <c r="D717" s="384"/>
      <c r="E717" s="384"/>
      <c r="F717" s="384"/>
      <c r="G717" s="387"/>
      <c r="H717" s="549"/>
      <c r="I717" s="387"/>
      <c r="J717" s="550"/>
      <c r="K717" s="551"/>
      <c r="L717" s="551"/>
      <c r="M717" s="551"/>
      <c r="N717" s="387"/>
      <c r="O717" s="387"/>
      <c r="P717" s="551"/>
      <c r="Q717" s="394"/>
      <c r="R717" s="551"/>
      <c r="S717" s="395"/>
      <c r="T717" s="395"/>
      <c r="U717" s="395"/>
      <c r="V717" s="395"/>
      <c r="W717" s="395"/>
      <c r="X717" s="622"/>
      <c r="Y717" s="458"/>
      <c r="Z717" s="458"/>
      <c r="AA717" s="458"/>
    </row>
    <row r="718" spans="1:27" s="303" customFormat="1" ht="14.25">
      <c r="A718" s="384"/>
      <c r="B718" s="384"/>
      <c r="C718" s="384"/>
      <c r="D718" s="384"/>
      <c r="E718" s="384"/>
      <c r="F718" s="384"/>
      <c r="G718" s="388"/>
      <c r="H718" s="389"/>
      <c r="I718" s="388"/>
      <c r="J718" s="391"/>
      <c r="K718" s="392"/>
      <c r="L718" s="392"/>
      <c r="M718" s="392"/>
      <c r="N718" s="388"/>
      <c r="O718" s="388"/>
      <c r="P718" s="392"/>
      <c r="Q718" s="394"/>
      <c r="R718" s="392"/>
      <c r="S718" s="395"/>
      <c r="T718" s="396"/>
      <c r="U718" s="396"/>
      <c r="V718" s="396"/>
      <c r="W718" s="396"/>
      <c r="X718" s="397"/>
      <c r="Y718" s="339"/>
      <c r="Z718" s="339"/>
      <c r="AA718" s="339"/>
    </row>
    <row r="719" spans="1:27" s="303" customFormat="1" ht="14.25">
      <c r="A719" s="384"/>
      <c r="B719" s="384"/>
      <c r="C719" s="384"/>
      <c r="D719" s="384"/>
      <c r="E719" s="384"/>
      <c r="F719" s="384"/>
      <c r="G719" s="387"/>
      <c r="H719" s="549"/>
      <c r="I719" s="387"/>
      <c r="J719" s="550"/>
      <c r="K719" s="551"/>
      <c r="L719" s="551"/>
      <c r="M719" s="551"/>
      <c r="N719" s="387"/>
      <c r="O719" s="387"/>
      <c r="P719" s="551"/>
      <c r="Q719" s="394"/>
      <c r="R719" s="551"/>
      <c r="S719" s="395"/>
      <c r="T719" s="395"/>
      <c r="U719" s="395"/>
      <c r="V719" s="395"/>
      <c r="W719" s="395"/>
      <c r="X719" s="622"/>
      <c r="Y719" s="458"/>
      <c r="Z719" s="458"/>
      <c r="AA719" s="458"/>
    </row>
    <row r="720" spans="1:27" s="303" customFormat="1" ht="14.25">
      <c r="A720" s="384"/>
      <c r="B720" s="384"/>
      <c r="C720" s="384"/>
      <c r="D720" s="384"/>
      <c r="E720" s="384"/>
      <c r="F720" s="384"/>
      <c r="G720" s="388"/>
      <c r="H720" s="389"/>
      <c r="I720" s="388"/>
      <c r="J720" s="391"/>
      <c r="K720" s="392"/>
      <c r="L720" s="392"/>
      <c r="M720" s="392"/>
      <c r="N720" s="388"/>
      <c r="O720" s="388"/>
      <c r="P720" s="392"/>
      <c r="Q720" s="394"/>
      <c r="R720" s="392"/>
      <c r="S720" s="395"/>
      <c r="T720" s="396"/>
      <c r="U720" s="396"/>
      <c r="V720" s="396"/>
      <c r="W720" s="396"/>
      <c r="X720" s="397"/>
      <c r="Y720" s="339"/>
      <c r="Z720" s="339"/>
      <c r="AA720" s="339"/>
    </row>
    <row r="721" spans="1:27" s="303" customFormat="1" ht="14.25">
      <c r="A721" s="384"/>
      <c r="B721" s="384"/>
      <c r="C721" s="384"/>
      <c r="D721" s="384"/>
      <c r="E721" s="384"/>
      <c r="F721" s="384"/>
      <c r="G721" s="387"/>
      <c r="H721" s="549"/>
      <c r="I721" s="387"/>
      <c r="J721" s="550"/>
      <c r="K721" s="551"/>
      <c r="L721" s="551"/>
      <c r="M721" s="551"/>
      <c r="N721" s="387"/>
      <c r="O721" s="387"/>
      <c r="P721" s="551"/>
      <c r="Q721" s="394"/>
      <c r="R721" s="551"/>
      <c r="S721" s="395"/>
      <c r="T721" s="395"/>
      <c r="U721" s="395"/>
      <c r="V721" s="395"/>
      <c r="W721" s="395"/>
      <c r="X721" s="622"/>
      <c r="Y721" s="458"/>
      <c r="Z721" s="458"/>
      <c r="AA721" s="458"/>
    </row>
    <row r="722" spans="1:27" s="303" customFormat="1" ht="14.25">
      <c r="A722" s="384"/>
      <c r="B722" s="384"/>
      <c r="C722" s="384"/>
      <c r="D722" s="384"/>
      <c r="E722" s="384"/>
      <c r="F722" s="384"/>
      <c r="G722" s="388"/>
      <c r="H722" s="389"/>
      <c r="I722" s="388"/>
      <c r="J722" s="391"/>
      <c r="K722" s="392"/>
      <c r="L722" s="392"/>
      <c r="M722" s="392"/>
      <c r="N722" s="388"/>
      <c r="O722" s="388"/>
      <c r="P722" s="392"/>
      <c r="Q722" s="394"/>
      <c r="R722" s="392"/>
      <c r="S722" s="395"/>
      <c r="T722" s="396"/>
      <c r="U722" s="396"/>
      <c r="V722" s="396"/>
      <c r="W722" s="396"/>
      <c r="X722" s="397"/>
      <c r="Y722" s="339"/>
      <c r="Z722" s="339"/>
      <c r="AA722" s="339"/>
    </row>
    <row r="723" spans="1:27" s="303" customFormat="1" ht="14.25">
      <c r="A723" s="384"/>
      <c r="B723" s="384"/>
      <c r="C723" s="384"/>
      <c r="D723" s="384"/>
      <c r="E723" s="384"/>
      <c r="F723" s="384"/>
      <c r="G723" s="387"/>
      <c r="H723" s="549"/>
      <c r="I723" s="387"/>
      <c r="J723" s="550"/>
      <c r="K723" s="551"/>
      <c r="L723" s="551"/>
      <c r="M723" s="551"/>
      <c r="N723" s="387"/>
      <c r="O723" s="387"/>
      <c r="P723" s="551"/>
      <c r="Q723" s="394"/>
      <c r="R723" s="551"/>
      <c r="S723" s="395"/>
      <c r="T723" s="395"/>
      <c r="U723" s="395"/>
      <c r="V723" s="395"/>
      <c r="W723" s="395"/>
      <c r="X723" s="622"/>
      <c r="Y723" s="458"/>
      <c r="Z723" s="458"/>
      <c r="AA723" s="458"/>
    </row>
    <row r="724" spans="1:27" s="303" customFormat="1" ht="14.25">
      <c r="A724" s="384"/>
      <c r="B724" s="384"/>
      <c r="C724" s="384"/>
      <c r="D724" s="384"/>
      <c r="E724" s="384"/>
      <c r="F724" s="384"/>
      <c r="G724" s="388"/>
      <c r="H724" s="389"/>
      <c r="I724" s="388"/>
      <c r="J724" s="391"/>
      <c r="K724" s="392"/>
      <c r="L724" s="392"/>
      <c r="M724" s="392"/>
      <c r="N724" s="388"/>
      <c r="O724" s="388"/>
      <c r="P724" s="392"/>
      <c r="Q724" s="394"/>
      <c r="R724" s="392"/>
      <c r="S724" s="395"/>
      <c r="T724" s="396"/>
      <c r="U724" s="396"/>
      <c r="V724" s="396"/>
      <c r="W724" s="396"/>
      <c r="X724" s="397"/>
      <c r="Y724" s="339"/>
      <c r="Z724" s="339"/>
      <c r="AA724" s="339"/>
    </row>
    <row r="725" spans="1:27" s="303" customFormat="1" ht="14.25">
      <c r="A725" s="384"/>
      <c r="B725" s="384"/>
      <c r="C725" s="384"/>
      <c r="D725" s="384"/>
      <c r="E725" s="384"/>
      <c r="F725" s="384"/>
      <c r="G725" s="387"/>
      <c r="H725" s="549"/>
      <c r="I725" s="387"/>
      <c r="J725" s="550"/>
      <c r="K725" s="551"/>
      <c r="L725" s="551"/>
      <c r="M725" s="551"/>
      <c r="N725" s="387"/>
      <c r="O725" s="387"/>
      <c r="P725" s="551"/>
      <c r="Q725" s="394"/>
      <c r="R725" s="551"/>
      <c r="S725" s="395"/>
      <c r="T725" s="395"/>
      <c r="U725" s="395"/>
      <c r="V725" s="395"/>
      <c r="W725" s="395"/>
      <c r="X725" s="622"/>
      <c r="Y725" s="458"/>
      <c r="Z725" s="458"/>
      <c r="AA725" s="458"/>
    </row>
    <row r="726" spans="1:27" s="303" customFormat="1" ht="14.25">
      <c r="A726" s="384"/>
      <c r="B726" s="384"/>
      <c r="C726" s="384"/>
      <c r="D726" s="384"/>
      <c r="E726" s="384"/>
      <c r="F726" s="384"/>
      <c r="G726" s="388"/>
      <c r="H726" s="389"/>
      <c r="I726" s="388"/>
      <c r="J726" s="391"/>
      <c r="K726" s="392"/>
      <c r="L726" s="392"/>
      <c r="M726" s="392"/>
      <c r="N726" s="388"/>
      <c r="O726" s="388"/>
      <c r="P726" s="392"/>
      <c r="Q726" s="394"/>
      <c r="R726" s="392"/>
      <c r="S726" s="395"/>
      <c r="T726" s="396"/>
      <c r="U726" s="396"/>
      <c r="V726" s="396"/>
      <c r="W726" s="396"/>
      <c r="X726" s="397"/>
      <c r="Y726" s="339"/>
      <c r="Z726" s="339"/>
      <c r="AA726" s="339"/>
    </row>
    <row r="727" spans="1:27" s="303" customFormat="1" ht="14.25">
      <c r="A727" s="384"/>
      <c r="B727" s="384"/>
      <c r="C727" s="384"/>
      <c r="D727" s="384"/>
      <c r="E727" s="384"/>
      <c r="F727" s="384"/>
      <c r="G727" s="387"/>
      <c r="H727" s="549"/>
      <c r="I727" s="387"/>
      <c r="J727" s="550"/>
      <c r="K727" s="551"/>
      <c r="L727" s="551"/>
      <c r="M727" s="551"/>
      <c r="N727" s="387"/>
      <c r="O727" s="387"/>
      <c r="P727" s="551"/>
      <c r="Q727" s="394"/>
      <c r="R727" s="551"/>
      <c r="S727" s="395"/>
      <c r="T727" s="395"/>
      <c r="U727" s="395"/>
      <c r="V727" s="395"/>
      <c r="W727" s="395"/>
      <c r="X727" s="622"/>
      <c r="Y727" s="458"/>
      <c r="Z727" s="458"/>
      <c r="AA727" s="458"/>
    </row>
    <row r="728" spans="1:27" s="303" customFormat="1" ht="14.25">
      <c r="A728" s="384"/>
      <c r="B728" s="384"/>
      <c r="C728" s="384"/>
      <c r="D728" s="384"/>
      <c r="E728" s="384"/>
      <c r="F728" s="384"/>
      <c r="G728" s="388"/>
      <c r="H728" s="389"/>
      <c r="I728" s="388"/>
      <c r="J728" s="391"/>
      <c r="K728" s="392"/>
      <c r="L728" s="392"/>
      <c r="M728" s="392"/>
      <c r="N728" s="388"/>
      <c r="O728" s="388"/>
      <c r="P728" s="392"/>
      <c r="Q728" s="394"/>
      <c r="R728" s="392"/>
      <c r="S728" s="395"/>
      <c r="T728" s="396"/>
      <c r="U728" s="396"/>
      <c r="V728" s="396"/>
      <c r="W728" s="396"/>
      <c r="X728" s="397"/>
      <c r="Y728" s="339"/>
      <c r="Z728" s="339"/>
      <c r="AA728" s="339"/>
    </row>
    <row r="729" spans="1:27" s="303" customFormat="1" ht="14.25">
      <c r="A729" s="384"/>
      <c r="B729" s="384"/>
      <c r="C729" s="384"/>
      <c r="D729" s="384"/>
      <c r="E729" s="384"/>
      <c r="F729" s="384"/>
      <c r="G729" s="387"/>
      <c r="H729" s="549"/>
      <c r="I729" s="387"/>
      <c r="J729" s="550"/>
      <c r="K729" s="551"/>
      <c r="L729" s="551"/>
      <c r="M729" s="551"/>
      <c r="N729" s="387"/>
      <c r="O729" s="387"/>
      <c r="P729" s="551"/>
      <c r="Q729" s="394"/>
      <c r="R729" s="551"/>
      <c r="S729" s="395"/>
      <c r="T729" s="395"/>
      <c r="U729" s="395"/>
      <c r="V729" s="395"/>
      <c r="W729" s="395"/>
      <c r="X729" s="622"/>
      <c r="Y729" s="458"/>
      <c r="Z729" s="458"/>
      <c r="AA729" s="458"/>
    </row>
    <row r="730" spans="1:27" s="303" customFormat="1" ht="14.25">
      <c r="A730" s="384"/>
      <c r="B730" s="384"/>
      <c r="C730" s="384"/>
      <c r="D730" s="384"/>
      <c r="E730" s="384"/>
      <c r="F730" s="384"/>
      <c r="G730" s="388"/>
      <c r="H730" s="389"/>
      <c r="I730" s="388"/>
      <c r="J730" s="391"/>
      <c r="K730" s="392"/>
      <c r="L730" s="392"/>
      <c r="M730" s="392"/>
      <c r="N730" s="388"/>
      <c r="O730" s="388"/>
      <c r="P730" s="392"/>
      <c r="Q730" s="394"/>
      <c r="R730" s="392"/>
      <c r="S730" s="395"/>
      <c r="T730" s="396"/>
      <c r="U730" s="396"/>
      <c r="V730" s="396"/>
      <c r="W730" s="396"/>
      <c r="X730" s="397"/>
      <c r="Y730" s="339"/>
      <c r="Z730" s="339"/>
      <c r="AA730" s="339"/>
    </row>
    <row r="731" spans="1:27" s="303" customFormat="1" ht="14.25">
      <c r="A731" s="384"/>
      <c r="B731" s="384"/>
      <c r="C731" s="384"/>
      <c r="D731" s="384"/>
      <c r="E731" s="384"/>
      <c r="F731" s="384"/>
      <c r="G731" s="387"/>
      <c r="H731" s="549"/>
      <c r="I731" s="387"/>
      <c r="J731" s="550"/>
      <c r="K731" s="551"/>
      <c r="L731" s="551"/>
      <c r="M731" s="551"/>
      <c r="N731" s="387"/>
      <c r="O731" s="387"/>
      <c r="P731" s="551"/>
      <c r="Q731" s="394"/>
      <c r="R731" s="551"/>
      <c r="S731" s="395"/>
      <c r="T731" s="395"/>
      <c r="U731" s="395"/>
      <c r="V731" s="395"/>
      <c r="W731" s="395"/>
      <c r="X731" s="622"/>
      <c r="Y731" s="458"/>
      <c r="Z731" s="458"/>
      <c r="AA731" s="458"/>
    </row>
    <row r="732" spans="1:27" s="303" customFormat="1" ht="14.25">
      <c r="A732" s="384"/>
      <c r="B732" s="384"/>
      <c r="C732" s="384"/>
      <c r="D732" s="384"/>
      <c r="E732" s="384"/>
      <c r="F732" s="384"/>
      <c r="G732" s="388"/>
      <c r="H732" s="389"/>
      <c r="I732" s="388"/>
      <c r="J732" s="391"/>
      <c r="K732" s="392"/>
      <c r="L732" s="392"/>
      <c r="M732" s="392"/>
      <c r="N732" s="388"/>
      <c r="O732" s="388"/>
      <c r="P732" s="392"/>
      <c r="Q732" s="394"/>
      <c r="R732" s="392"/>
      <c r="S732" s="395"/>
      <c r="T732" s="396"/>
      <c r="U732" s="396"/>
      <c r="V732" s="396"/>
      <c r="W732" s="396"/>
      <c r="X732" s="397"/>
      <c r="Y732" s="339"/>
      <c r="Z732" s="339"/>
      <c r="AA732" s="339"/>
    </row>
    <row r="733" spans="1:27" s="303" customFormat="1" ht="14.25">
      <c r="A733" s="384"/>
      <c r="B733" s="384"/>
      <c r="C733" s="384"/>
      <c r="D733" s="384"/>
      <c r="E733" s="384"/>
      <c r="F733" s="384"/>
      <c r="G733" s="387"/>
      <c r="H733" s="549"/>
      <c r="I733" s="387"/>
      <c r="J733" s="550"/>
      <c r="K733" s="551"/>
      <c r="L733" s="551"/>
      <c r="M733" s="551"/>
      <c r="N733" s="387"/>
      <c r="O733" s="387"/>
      <c r="P733" s="551"/>
      <c r="Q733" s="394"/>
      <c r="R733" s="551"/>
      <c r="S733" s="395"/>
      <c r="T733" s="395"/>
      <c r="U733" s="395"/>
      <c r="V733" s="395"/>
      <c r="W733" s="395"/>
      <c r="X733" s="622"/>
      <c r="Y733" s="458"/>
      <c r="Z733" s="458"/>
      <c r="AA733" s="458"/>
    </row>
    <row r="734" spans="1:27" s="303" customFormat="1" ht="14.25">
      <c r="A734" s="384"/>
      <c r="B734" s="384"/>
      <c r="C734" s="384"/>
      <c r="D734" s="384"/>
      <c r="E734" s="384"/>
      <c r="F734" s="384"/>
      <c r="G734" s="387"/>
      <c r="H734" s="549"/>
      <c r="I734" s="387"/>
      <c r="J734" s="550"/>
      <c r="K734" s="551"/>
      <c r="L734" s="551"/>
      <c r="M734" s="551"/>
      <c r="N734" s="387"/>
      <c r="O734" s="387"/>
      <c r="P734" s="551"/>
      <c r="Q734" s="394"/>
      <c r="R734" s="551"/>
      <c r="S734" s="395"/>
      <c r="T734" s="395"/>
      <c r="U734" s="395"/>
      <c r="V734" s="395"/>
      <c r="W734" s="395"/>
      <c r="X734" s="622"/>
      <c r="Y734" s="458"/>
      <c r="Z734" s="458"/>
      <c r="AA734" s="458"/>
    </row>
    <row r="735" spans="1:27" s="303" customFormat="1" ht="14.25">
      <c r="A735" s="384"/>
      <c r="B735" s="384"/>
      <c r="C735" s="384"/>
      <c r="D735" s="384"/>
      <c r="E735" s="384"/>
      <c r="F735" s="384"/>
      <c r="G735" s="387"/>
      <c r="H735" s="549"/>
      <c r="I735" s="387"/>
      <c r="J735" s="550"/>
      <c r="K735" s="551"/>
      <c r="L735" s="551"/>
      <c r="M735" s="551"/>
      <c r="N735" s="387"/>
      <c r="O735" s="387"/>
      <c r="P735" s="551"/>
      <c r="Q735" s="394"/>
      <c r="R735" s="551"/>
      <c r="S735" s="395"/>
      <c r="T735" s="395"/>
      <c r="U735" s="395"/>
      <c r="V735" s="395"/>
      <c r="W735" s="395"/>
      <c r="X735" s="622"/>
      <c r="Y735" s="458"/>
      <c r="Z735" s="458"/>
      <c r="AA735" s="458"/>
    </row>
    <row r="736" spans="1:27" s="303" customFormat="1" ht="14.25">
      <c r="A736" s="384"/>
      <c r="B736" s="384"/>
      <c r="C736" s="384"/>
      <c r="D736" s="384"/>
      <c r="E736" s="384"/>
      <c r="F736" s="384"/>
      <c r="G736" s="388"/>
      <c r="H736" s="389"/>
      <c r="I736" s="388"/>
      <c r="J736" s="391"/>
      <c r="K736" s="392"/>
      <c r="L736" s="392"/>
      <c r="M736" s="392"/>
      <c r="N736" s="388"/>
      <c r="O736" s="388"/>
      <c r="P736" s="392"/>
      <c r="Q736" s="394"/>
      <c r="R736" s="392"/>
      <c r="S736" s="395"/>
      <c r="T736" s="396"/>
      <c r="U736" s="396"/>
      <c r="V736" s="396"/>
      <c r="W736" s="396"/>
      <c r="X736" s="397"/>
      <c r="Y736" s="339"/>
      <c r="Z736" s="339"/>
      <c r="AA736" s="339"/>
    </row>
    <row r="737" spans="1:27" s="303" customFormat="1" ht="14.25">
      <c r="A737" s="384"/>
      <c r="B737" s="384"/>
      <c r="C737" s="384"/>
      <c r="D737" s="384"/>
      <c r="E737" s="384"/>
      <c r="F737" s="384"/>
      <c r="G737" s="387"/>
      <c r="H737" s="549"/>
      <c r="I737" s="387"/>
      <c r="J737" s="550"/>
      <c r="K737" s="551"/>
      <c r="L737" s="551"/>
      <c r="M737" s="551"/>
      <c r="N737" s="387"/>
      <c r="O737" s="387"/>
      <c r="P737" s="551"/>
      <c r="Q737" s="394"/>
      <c r="R737" s="551"/>
      <c r="S737" s="395"/>
      <c r="T737" s="395"/>
      <c r="U737" s="395"/>
      <c r="V737" s="395"/>
      <c r="W737" s="395"/>
      <c r="X737" s="622"/>
      <c r="Y737" s="458"/>
      <c r="Z737" s="458"/>
      <c r="AA737" s="458"/>
    </row>
    <row r="738" spans="1:27" s="303" customFormat="1" ht="14.25">
      <c r="A738" s="384"/>
      <c r="B738" s="384"/>
      <c r="C738" s="384"/>
      <c r="D738" s="384"/>
      <c r="E738" s="384"/>
      <c r="F738" s="384"/>
      <c r="G738" s="388"/>
      <c r="H738" s="389"/>
      <c r="I738" s="388"/>
      <c r="J738" s="391"/>
      <c r="K738" s="392"/>
      <c r="L738" s="392"/>
      <c r="M738" s="392"/>
      <c r="N738" s="388"/>
      <c r="O738" s="388"/>
      <c r="P738" s="392"/>
      <c r="Q738" s="394"/>
      <c r="R738" s="392"/>
      <c r="S738" s="395"/>
      <c r="T738" s="396"/>
      <c r="U738" s="396"/>
      <c r="V738" s="396"/>
      <c r="W738" s="396"/>
      <c r="X738" s="397"/>
      <c r="Y738" s="339"/>
      <c r="Z738" s="339"/>
      <c r="AA738" s="339"/>
    </row>
    <row r="739" spans="1:27" s="303" customFormat="1" ht="14.25">
      <c r="A739" s="384"/>
      <c r="B739" s="384"/>
      <c r="C739" s="384"/>
      <c r="D739" s="384"/>
      <c r="E739" s="384"/>
      <c r="F739" s="384"/>
      <c r="G739" s="387"/>
      <c r="H739" s="549"/>
      <c r="I739" s="387"/>
      <c r="J739" s="550"/>
      <c r="K739" s="551"/>
      <c r="L739" s="551"/>
      <c r="M739" s="551"/>
      <c r="N739" s="387"/>
      <c r="O739" s="387"/>
      <c r="P739" s="551"/>
      <c r="Q739" s="394"/>
      <c r="R739" s="551"/>
      <c r="S739" s="395"/>
      <c r="T739" s="395"/>
      <c r="U739" s="395"/>
      <c r="V739" s="395"/>
      <c r="W739" s="395"/>
      <c r="X739" s="622"/>
      <c r="Y739" s="458"/>
      <c r="Z739" s="458"/>
      <c r="AA739" s="458"/>
    </row>
    <row r="740" spans="1:27" s="303" customFormat="1" ht="14.25">
      <c r="A740" s="384"/>
      <c r="B740" s="384"/>
      <c r="C740" s="384"/>
      <c r="D740" s="384"/>
      <c r="E740" s="384"/>
      <c r="F740" s="384"/>
      <c r="G740" s="388"/>
      <c r="H740" s="389"/>
      <c r="I740" s="388"/>
      <c r="J740" s="391"/>
      <c r="K740" s="392"/>
      <c r="L740" s="392"/>
      <c r="M740" s="392"/>
      <c r="N740" s="388"/>
      <c r="O740" s="388"/>
      <c r="P740" s="392"/>
      <c r="Q740" s="394"/>
      <c r="R740" s="392"/>
      <c r="S740" s="395"/>
      <c r="T740" s="396"/>
      <c r="U740" s="396"/>
      <c r="V740" s="396"/>
      <c r="W740" s="396"/>
      <c r="X740" s="397"/>
      <c r="Y740" s="339"/>
      <c r="Z740" s="339"/>
      <c r="AA740" s="339"/>
    </row>
    <row r="741" spans="1:27" s="303" customFormat="1" ht="14.25">
      <c r="A741" s="384"/>
      <c r="B741" s="384"/>
      <c r="C741" s="384"/>
      <c r="D741" s="384"/>
      <c r="E741" s="384"/>
      <c r="F741" s="384"/>
      <c r="G741" s="387"/>
      <c r="H741" s="549"/>
      <c r="I741" s="387"/>
      <c r="J741" s="550"/>
      <c r="K741" s="551"/>
      <c r="L741" s="551"/>
      <c r="M741" s="551"/>
      <c r="N741" s="387"/>
      <c r="O741" s="387"/>
      <c r="P741" s="551"/>
      <c r="Q741" s="394"/>
      <c r="R741" s="551"/>
      <c r="S741" s="395"/>
      <c r="T741" s="395"/>
      <c r="U741" s="395"/>
      <c r="V741" s="395"/>
      <c r="W741" s="395"/>
      <c r="X741" s="622"/>
      <c r="Y741" s="458"/>
      <c r="Z741" s="458"/>
      <c r="AA741" s="458"/>
    </row>
    <row r="742" spans="1:27" s="303" customFormat="1" ht="14.25">
      <c r="A742" s="384"/>
      <c r="B742" s="384"/>
      <c r="C742" s="384"/>
      <c r="D742" s="384"/>
      <c r="E742" s="384"/>
      <c r="F742" s="384"/>
      <c r="G742" s="388"/>
      <c r="H742" s="389"/>
      <c r="I742" s="388"/>
      <c r="J742" s="391"/>
      <c r="K742" s="392"/>
      <c r="L742" s="392"/>
      <c r="M742" s="392"/>
      <c r="N742" s="388"/>
      <c r="O742" s="388"/>
      <c r="P742" s="392"/>
      <c r="Q742" s="394"/>
      <c r="R742" s="392"/>
      <c r="S742" s="395"/>
      <c r="T742" s="396"/>
      <c r="U742" s="396"/>
      <c r="V742" s="396"/>
      <c r="W742" s="396"/>
      <c r="X742" s="397"/>
      <c r="Y742" s="339"/>
      <c r="Z742" s="339"/>
      <c r="AA742" s="339"/>
    </row>
    <row r="743" spans="1:27" s="303" customFormat="1" ht="14.25">
      <c r="A743" s="384"/>
      <c r="B743" s="384"/>
      <c r="C743" s="384"/>
      <c r="D743" s="384"/>
      <c r="E743" s="384"/>
      <c r="F743" s="384"/>
      <c r="G743" s="387"/>
      <c r="H743" s="549"/>
      <c r="I743" s="387"/>
      <c r="J743" s="550"/>
      <c r="K743" s="551"/>
      <c r="L743" s="551"/>
      <c r="M743" s="551"/>
      <c r="N743" s="387"/>
      <c r="O743" s="387"/>
      <c r="P743" s="551"/>
      <c r="Q743" s="394"/>
      <c r="R743" s="551"/>
      <c r="S743" s="395"/>
      <c r="T743" s="395"/>
      <c r="U743" s="395"/>
      <c r="V743" s="395"/>
      <c r="W743" s="395"/>
      <c r="X743" s="622"/>
      <c r="Y743" s="458"/>
      <c r="Z743" s="458"/>
      <c r="AA743" s="458"/>
    </row>
    <row r="744" spans="1:27" s="303" customFormat="1" ht="14.25">
      <c r="A744" s="384"/>
      <c r="B744" s="384"/>
      <c r="C744" s="384"/>
      <c r="D744" s="384"/>
      <c r="E744" s="384"/>
      <c r="F744" s="384"/>
      <c r="G744" s="388"/>
      <c r="H744" s="389"/>
      <c r="I744" s="388"/>
      <c r="J744" s="391"/>
      <c r="K744" s="392"/>
      <c r="L744" s="392"/>
      <c r="M744" s="392"/>
      <c r="N744" s="388"/>
      <c r="O744" s="388"/>
      <c r="P744" s="392"/>
      <c r="Q744" s="394"/>
      <c r="R744" s="392"/>
      <c r="S744" s="395"/>
      <c r="T744" s="396"/>
      <c r="U744" s="396"/>
      <c r="V744" s="396"/>
      <c r="W744" s="396"/>
      <c r="X744" s="397"/>
      <c r="Y744" s="339"/>
      <c r="Z744" s="339"/>
      <c r="AA744" s="339"/>
    </row>
    <row r="745" spans="1:27" s="303" customFormat="1" ht="14.25">
      <c r="A745" s="384"/>
      <c r="B745" s="384"/>
      <c r="C745" s="384"/>
      <c r="D745" s="384"/>
      <c r="E745" s="384"/>
      <c r="F745" s="384"/>
      <c r="G745" s="387"/>
      <c r="H745" s="549"/>
      <c r="I745" s="387"/>
      <c r="J745" s="550"/>
      <c r="K745" s="551"/>
      <c r="L745" s="551"/>
      <c r="M745" s="551"/>
      <c r="N745" s="387"/>
      <c r="O745" s="387"/>
      <c r="P745" s="551"/>
      <c r="Q745" s="394"/>
      <c r="R745" s="551"/>
      <c r="S745" s="395"/>
      <c r="T745" s="395"/>
      <c r="U745" s="395"/>
      <c r="V745" s="395"/>
      <c r="W745" s="395"/>
      <c r="X745" s="622"/>
      <c r="Y745" s="458"/>
      <c r="Z745" s="458"/>
      <c r="AA745" s="458"/>
    </row>
    <row r="746" spans="1:27" s="303" customFormat="1" ht="14.25">
      <c r="A746" s="384"/>
      <c r="B746" s="384"/>
      <c r="C746" s="384"/>
      <c r="D746" s="384"/>
      <c r="E746" s="384"/>
      <c r="F746" s="384"/>
      <c r="G746" s="388"/>
      <c r="H746" s="389"/>
      <c r="I746" s="388"/>
      <c r="J746" s="391"/>
      <c r="K746" s="392"/>
      <c r="L746" s="392"/>
      <c r="M746" s="392"/>
      <c r="N746" s="388"/>
      <c r="O746" s="388"/>
      <c r="P746" s="392"/>
      <c r="Q746" s="394"/>
      <c r="R746" s="392"/>
      <c r="S746" s="395"/>
      <c r="T746" s="396"/>
      <c r="U746" s="396"/>
      <c r="V746" s="396"/>
      <c r="W746" s="396"/>
      <c r="X746" s="397"/>
      <c r="Y746" s="339"/>
      <c r="Z746" s="339"/>
      <c r="AA746" s="339"/>
    </row>
    <row r="747" spans="1:27" s="303" customFormat="1" ht="14.25">
      <c r="A747" s="384"/>
      <c r="B747" s="384"/>
      <c r="C747" s="384"/>
      <c r="D747" s="384"/>
      <c r="E747" s="384"/>
      <c r="F747" s="384"/>
      <c r="G747" s="387"/>
      <c r="H747" s="549"/>
      <c r="I747" s="387"/>
      <c r="J747" s="550"/>
      <c r="K747" s="551"/>
      <c r="L747" s="551"/>
      <c r="M747" s="551"/>
      <c r="N747" s="387"/>
      <c r="O747" s="387"/>
      <c r="P747" s="551"/>
      <c r="Q747" s="394"/>
      <c r="R747" s="551"/>
      <c r="S747" s="395"/>
      <c r="T747" s="395"/>
      <c r="U747" s="395"/>
      <c r="V747" s="395"/>
      <c r="W747" s="395"/>
      <c r="X747" s="622"/>
      <c r="Y747" s="458"/>
      <c r="Z747" s="458"/>
      <c r="AA747" s="458"/>
    </row>
    <row r="748" spans="1:27" s="303" customFormat="1" ht="14.25">
      <c r="A748" s="384"/>
      <c r="B748" s="384"/>
      <c r="C748" s="384"/>
      <c r="D748" s="384"/>
      <c r="E748" s="384"/>
      <c r="F748" s="384"/>
      <c r="G748" s="388"/>
      <c r="H748" s="389"/>
      <c r="I748" s="388"/>
      <c r="J748" s="391"/>
      <c r="K748" s="392"/>
      <c r="L748" s="392"/>
      <c r="M748" s="392"/>
      <c r="N748" s="388"/>
      <c r="O748" s="388"/>
      <c r="P748" s="392"/>
      <c r="Q748" s="394"/>
      <c r="R748" s="392"/>
      <c r="S748" s="395"/>
      <c r="T748" s="396"/>
      <c r="U748" s="396"/>
      <c r="V748" s="396"/>
      <c r="W748" s="396"/>
      <c r="X748" s="397"/>
      <c r="Y748" s="339"/>
      <c r="Z748" s="339"/>
      <c r="AA748" s="339"/>
    </row>
    <row r="749" spans="1:27" s="303" customFormat="1" ht="14.25">
      <c r="A749" s="384"/>
      <c r="B749" s="384"/>
      <c r="C749" s="384"/>
      <c r="D749" s="384"/>
      <c r="E749" s="384"/>
      <c r="F749" s="384"/>
      <c r="G749" s="387"/>
      <c r="H749" s="549"/>
      <c r="I749" s="387"/>
      <c r="J749" s="550"/>
      <c r="K749" s="551"/>
      <c r="L749" s="551"/>
      <c r="M749" s="551"/>
      <c r="N749" s="387"/>
      <c r="O749" s="387"/>
      <c r="P749" s="551"/>
      <c r="Q749" s="394"/>
      <c r="R749" s="551"/>
      <c r="S749" s="395"/>
      <c r="T749" s="395"/>
      <c r="U749" s="395"/>
      <c r="V749" s="395"/>
      <c r="W749" s="395"/>
      <c r="X749" s="622"/>
      <c r="Y749" s="458"/>
      <c r="Z749" s="458"/>
      <c r="AA749" s="458"/>
    </row>
    <row r="750" spans="1:27" s="303" customFormat="1" ht="14.25">
      <c r="A750" s="384"/>
      <c r="B750" s="384"/>
      <c r="C750" s="384"/>
      <c r="D750" s="384"/>
      <c r="E750" s="384"/>
      <c r="F750" s="384"/>
      <c r="G750" s="388"/>
      <c r="H750" s="389"/>
      <c r="I750" s="388"/>
      <c r="J750" s="391"/>
      <c r="K750" s="392"/>
      <c r="L750" s="392"/>
      <c r="M750" s="392"/>
      <c r="N750" s="388"/>
      <c r="O750" s="388"/>
      <c r="P750" s="392"/>
      <c r="Q750" s="394"/>
      <c r="R750" s="392"/>
      <c r="S750" s="395"/>
      <c r="T750" s="396"/>
      <c r="U750" s="396"/>
      <c r="V750" s="396"/>
      <c r="W750" s="396"/>
      <c r="X750" s="397"/>
      <c r="Y750" s="339"/>
      <c r="Z750" s="339"/>
      <c r="AA750" s="339"/>
    </row>
    <row r="751" spans="1:27" s="303" customFormat="1" ht="14.25">
      <c r="A751" s="384"/>
      <c r="B751" s="384"/>
      <c r="C751" s="384"/>
      <c r="D751" s="384"/>
      <c r="E751" s="384"/>
      <c r="F751" s="384"/>
      <c r="G751" s="387"/>
      <c r="H751" s="549"/>
      <c r="I751" s="387"/>
      <c r="J751" s="550"/>
      <c r="K751" s="551"/>
      <c r="L751" s="551"/>
      <c r="M751" s="551"/>
      <c r="N751" s="387"/>
      <c r="O751" s="387"/>
      <c r="P751" s="551"/>
      <c r="Q751" s="394"/>
      <c r="R751" s="551"/>
      <c r="S751" s="395"/>
      <c r="T751" s="395"/>
      <c r="U751" s="395"/>
      <c r="V751" s="395"/>
      <c r="W751" s="395"/>
      <c r="X751" s="622"/>
      <c r="Y751" s="458"/>
      <c r="Z751" s="458"/>
      <c r="AA751" s="458"/>
    </row>
    <row r="752" spans="1:27" s="303" customFormat="1" ht="14.25">
      <c r="A752" s="384"/>
      <c r="B752" s="384"/>
      <c r="C752" s="384"/>
      <c r="D752" s="384"/>
      <c r="E752" s="384"/>
      <c r="F752" s="384"/>
      <c r="G752" s="388"/>
      <c r="H752" s="389"/>
      <c r="I752" s="388"/>
      <c r="J752" s="391"/>
      <c r="K752" s="392"/>
      <c r="L752" s="392"/>
      <c r="M752" s="392"/>
      <c r="N752" s="388"/>
      <c r="O752" s="388"/>
      <c r="P752" s="392"/>
      <c r="Q752" s="394"/>
      <c r="R752" s="392"/>
      <c r="S752" s="395"/>
      <c r="T752" s="396"/>
      <c r="U752" s="396"/>
      <c r="V752" s="396"/>
      <c r="W752" s="396"/>
      <c r="X752" s="397"/>
      <c r="Y752" s="339"/>
      <c r="Z752" s="339"/>
      <c r="AA752" s="339"/>
    </row>
    <row r="753" spans="1:27" s="303" customFormat="1" ht="14.25">
      <c r="A753" s="384"/>
      <c r="B753" s="384"/>
      <c r="C753" s="384"/>
      <c r="D753" s="384"/>
      <c r="E753" s="384"/>
      <c r="F753" s="384"/>
      <c r="G753" s="387"/>
      <c r="H753" s="549"/>
      <c r="I753" s="387"/>
      <c r="J753" s="550"/>
      <c r="K753" s="551"/>
      <c r="L753" s="551"/>
      <c r="M753" s="551"/>
      <c r="N753" s="387"/>
      <c r="O753" s="387"/>
      <c r="P753" s="551"/>
      <c r="Q753" s="394"/>
      <c r="R753" s="551"/>
      <c r="S753" s="395"/>
      <c r="T753" s="395"/>
      <c r="U753" s="395"/>
      <c r="V753" s="395"/>
      <c r="W753" s="395"/>
      <c r="X753" s="622"/>
      <c r="Y753" s="458"/>
      <c r="Z753" s="458"/>
      <c r="AA753" s="458"/>
    </row>
    <row r="754" spans="1:27" s="303" customFormat="1" ht="14.25">
      <c r="A754" s="384"/>
      <c r="B754" s="384"/>
      <c r="C754" s="384"/>
      <c r="D754" s="384"/>
      <c r="E754" s="384"/>
      <c r="F754" s="384"/>
      <c r="G754" s="388"/>
      <c r="H754" s="389"/>
      <c r="I754" s="388"/>
      <c r="J754" s="391"/>
      <c r="K754" s="392"/>
      <c r="L754" s="392"/>
      <c r="M754" s="392"/>
      <c r="N754" s="388"/>
      <c r="O754" s="388"/>
      <c r="P754" s="392"/>
      <c r="Q754" s="394"/>
      <c r="R754" s="392"/>
      <c r="S754" s="395"/>
      <c r="T754" s="396"/>
      <c r="U754" s="396"/>
      <c r="V754" s="396"/>
      <c r="W754" s="396"/>
      <c r="X754" s="397"/>
      <c r="Y754" s="339"/>
      <c r="Z754" s="339"/>
      <c r="AA754" s="339"/>
    </row>
    <row r="755" spans="1:27" s="303" customFormat="1" ht="14.25">
      <c r="A755" s="384"/>
      <c r="B755" s="384"/>
      <c r="C755" s="384"/>
      <c r="D755" s="384"/>
      <c r="E755" s="384"/>
      <c r="F755" s="384"/>
      <c r="G755" s="387"/>
      <c r="H755" s="549"/>
      <c r="I755" s="387"/>
      <c r="J755" s="550"/>
      <c r="K755" s="551"/>
      <c r="L755" s="551"/>
      <c r="M755" s="551"/>
      <c r="N755" s="387"/>
      <c r="O755" s="387"/>
      <c r="P755" s="551"/>
      <c r="Q755" s="394"/>
      <c r="R755" s="551"/>
      <c r="S755" s="395"/>
      <c r="T755" s="395"/>
      <c r="U755" s="395"/>
      <c r="V755" s="395"/>
      <c r="W755" s="395"/>
      <c r="X755" s="622"/>
      <c r="Y755" s="458"/>
      <c r="Z755" s="458"/>
      <c r="AA755" s="458"/>
    </row>
    <row r="756" spans="1:27" s="303" customFormat="1" ht="14.25">
      <c r="A756" s="384"/>
      <c r="B756" s="384"/>
      <c r="C756" s="384"/>
      <c r="D756" s="384"/>
      <c r="E756" s="384"/>
      <c r="F756" s="384"/>
      <c r="G756" s="388"/>
      <c r="H756" s="389"/>
      <c r="I756" s="388"/>
      <c r="J756" s="391"/>
      <c r="K756" s="392"/>
      <c r="L756" s="392"/>
      <c r="M756" s="392"/>
      <c r="N756" s="388"/>
      <c r="O756" s="388"/>
      <c r="P756" s="392"/>
      <c r="Q756" s="394"/>
      <c r="R756" s="392"/>
      <c r="S756" s="395"/>
      <c r="T756" s="396"/>
      <c r="U756" s="396"/>
      <c r="V756" s="396"/>
      <c r="W756" s="396"/>
      <c r="X756" s="397"/>
      <c r="Y756" s="339"/>
      <c r="Z756" s="339"/>
      <c r="AA756" s="339"/>
    </row>
    <row r="757" spans="1:27" s="303" customFormat="1" ht="14.25">
      <c r="A757" s="384"/>
      <c r="B757" s="384"/>
      <c r="C757" s="384"/>
      <c r="D757" s="384"/>
      <c r="E757" s="384"/>
      <c r="F757" s="384"/>
      <c r="G757" s="387"/>
      <c r="H757" s="549"/>
      <c r="I757" s="387"/>
      <c r="J757" s="550"/>
      <c r="K757" s="551"/>
      <c r="L757" s="551"/>
      <c r="M757" s="551"/>
      <c r="N757" s="387"/>
      <c r="O757" s="387"/>
      <c r="P757" s="551"/>
      <c r="Q757" s="394"/>
      <c r="R757" s="551"/>
      <c r="S757" s="395"/>
      <c r="T757" s="395"/>
      <c r="U757" s="395"/>
      <c r="V757" s="395"/>
      <c r="W757" s="395"/>
      <c r="X757" s="622"/>
      <c r="Y757" s="458"/>
      <c r="Z757" s="458"/>
      <c r="AA757" s="458"/>
    </row>
    <row r="758" spans="1:27" s="303" customFormat="1" ht="14.25">
      <c r="A758" s="384"/>
      <c r="B758" s="384"/>
      <c r="C758" s="384"/>
      <c r="D758" s="384"/>
      <c r="E758" s="384"/>
      <c r="F758" s="384"/>
      <c r="G758" s="388"/>
      <c r="H758" s="389"/>
      <c r="I758" s="388"/>
      <c r="J758" s="391"/>
      <c r="K758" s="392"/>
      <c r="L758" s="392"/>
      <c r="M758" s="392"/>
      <c r="N758" s="388"/>
      <c r="O758" s="388"/>
      <c r="P758" s="392"/>
      <c r="Q758" s="394"/>
      <c r="R758" s="392"/>
      <c r="S758" s="395"/>
      <c r="T758" s="396"/>
      <c r="U758" s="396"/>
      <c r="V758" s="396"/>
      <c r="W758" s="396"/>
      <c r="X758" s="397"/>
      <c r="Y758" s="339"/>
      <c r="Z758" s="339"/>
      <c r="AA758" s="339"/>
    </row>
    <row r="759" spans="1:27" s="303" customFormat="1" ht="14.25">
      <c r="A759" s="384"/>
      <c r="B759" s="384"/>
      <c r="C759" s="384"/>
      <c r="D759" s="384"/>
      <c r="E759" s="384"/>
      <c r="F759" s="384"/>
      <c r="G759" s="387"/>
      <c r="H759" s="549"/>
      <c r="I759" s="387"/>
      <c r="J759" s="550"/>
      <c r="K759" s="551"/>
      <c r="L759" s="551"/>
      <c r="M759" s="551"/>
      <c r="N759" s="387"/>
      <c r="O759" s="387"/>
      <c r="P759" s="551"/>
      <c r="Q759" s="394"/>
      <c r="R759" s="551"/>
      <c r="S759" s="395"/>
      <c r="T759" s="395"/>
      <c r="U759" s="395"/>
      <c r="V759" s="395"/>
      <c r="W759" s="395"/>
      <c r="X759" s="622"/>
      <c r="Y759" s="458"/>
      <c r="Z759" s="458"/>
      <c r="AA759" s="458"/>
    </row>
    <row r="760" spans="1:27" s="303" customFormat="1" ht="14.25">
      <c r="A760" s="384"/>
      <c r="B760" s="384"/>
      <c r="C760" s="384"/>
      <c r="D760" s="384"/>
      <c r="E760" s="384"/>
      <c r="F760" s="384"/>
      <c r="G760" s="388"/>
      <c r="H760" s="389"/>
      <c r="I760" s="388"/>
      <c r="J760" s="391"/>
      <c r="K760" s="392"/>
      <c r="L760" s="392"/>
      <c r="M760" s="392"/>
      <c r="N760" s="388"/>
      <c r="O760" s="388"/>
      <c r="P760" s="392"/>
      <c r="Q760" s="394"/>
      <c r="R760" s="392"/>
      <c r="S760" s="395"/>
      <c r="T760" s="396"/>
      <c r="U760" s="396"/>
      <c r="V760" s="396"/>
      <c r="W760" s="396"/>
      <c r="X760" s="397"/>
      <c r="Y760" s="339"/>
      <c r="Z760" s="339"/>
      <c r="AA760" s="339"/>
    </row>
    <row r="761" spans="1:27" s="303" customFormat="1" ht="14.25">
      <c r="A761" s="384"/>
      <c r="B761" s="384"/>
      <c r="C761" s="384"/>
      <c r="D761" s="384"/>
      <c r="E761" s="384"/>
      <c r="F761" s="384"/>
      <c r="G761" s="387"/>
      <c r="H761" s="549"/>
      <c r="I761" s="387"/>
      <c r="J761" s="550"/>
      <c r="K761" s="551"/>
      <c r="L761" s="551"/>
      <c r="M761" s="551"/>
      <c r="N761" s="387"/>
      <c r="O761" s="387"/>
      <c r="P761" s="551"/>
      <c r="Q761" s="394"/>
      <c r="R761" s="551"/>
      <c r="S761" s="395"/>
      <c r="T761" s="395"/>
      <c r="U761" s="395"/>
      <c r="V761" s="395"/>
      <c r="W761" s="395"/>
      <c r="X761" s="622"/>
      <c r="Y761" s="458"/>
      <c r="Z761" s="458"/>
      <c r="AA761" s="458"/>
    </row>
    <row r="762" spans="1:27" s="303" customFormat="1" ht="14.25">
      <c r="A762" s="384"/>
      <c r="B762" s="384"/>
      <c r="C762" s="384"/>
      <c r="D762" s="384"/>
      <c r="E762" s="384"/>
      <c r="F762" s="384"/>
      <c r="G762" s="388"/>
      <c r="H762" s="389"/>
      <c r="I762" s="388"/>
      <c r="J762" s="391"/>
      <c r="K762" s="392"/>
      <c r="L762" s="392"/>
      <c r="M762" s="392"/>
      <c r="N762" s="388"/>
      <c r="O762" s="388"/>
      <c r="P762" s="392"/>
      <c r="Q762" s="394"/>
      <c r="R762" s="392"/>
      <c r="S762" s="395"/>
      <c r="T762" s="396"/>
      <c r="U762" s="396"/>
      <c r="V762" s="396"/>
      <c r="W762" s="396"/>
      <c r="X762" s="397"/>
      <c r="Y762" s="339"/>
      <c r="Z762" s="339"/>
      <c r="AA762" s="339"/>
    </row>
    <row r="763" spans="1:27" s="303" customFormat="1" ht="14.25">
      <c r="A763" s="384"/>
      <c r="B763" s="384"/>
      <c r="C763" s="384"/>
      <c r="D763" s="384"/>
      <c r="E763" s="384"/>
      <c r="F763" s="384"/>
      <c r="G763" s="387"/>
      <c r="H763" s="549"/>
      <c r="I763" s="387"/>
      <c r="J763" s="550"/>
      <c r="K763" s="551"/>
      <c r="L763" s="551"/>
      <c r="M763" s="551"/>
      <c r="N763" s="387"/>
      <c r="O763" s="387"/>
      <c r="P763" s="551"/>
      <c r="Q763" s="394"/>
      <c r="R763" s="551"/>
      <c r="S763" s="395"/>
      <c r="T763" s="395"/>
      <c r="U763" s="395"/>
      <c r="V763" s="395"/>
      <c r="W763" s="395"/>
      <c r="X763" s="622"/>
      <c r="Y763" s="458"/>
      <c r="Z763" s="458"/>
      <c r="AA763" s="458"/>
    </row>
    <row r="764" spans="1:27" s="303" customFormat="1" ht="14.25">
      <c r="A764" s="384"/>
      <c r="B764" s="384"/>
      <c r="C764" s="384"/>
      <c r="D764" s="384"/>
      <c r="E764" s="384"/>
      <c r="F764" s="384"/>
      <c r="G764" s="388"/>
      <c r="H764" s="389"/>
      <c r="I764" s="388"/>
      <c r="J764" s="391"/>
      <c r="K764" s="392"/>
      <c r="L764" s="392"/>
      <c r="M764" s="392"/>
      <c r="N764" s="388"/>
      <c r="O764" s="388"/>
      <c r="P764" s="392"/>
      <c r="Q764" s="394"/>
      <c r="R764" s="392"/>
      <c r="S764" s="395"/>
      <c r="T764" s="396"/>
      <c r="U764" s="396"/>
      <c r="V764" s="396"/>
      <c r="W764" s="396"/>
      <c r="X764" s="397"/>
      <c r="Y764" s="339"/>
      <c r="Z764" s="339"/>
      <c r="AA764" s="339"/>
    </row>
    <row r="765" spans="1:27" s="303" customFormat="1" ht="14.25">
      <c r="A765" s="384"/>
      <c r="B765" s="384"/>
      <c r="C765" s="384"/>
      <c r="D765" s="384"/>
      <c r="E765" s="384"/>
      <c r="F765" s="384"/>
      <c r="G765" s="387"/>
      <c r="H765" s="549"/>
      <c r="I765" s="387"/>
      <c r="J765" s="550"/>
      <c r="K765" s="551"/>
      <c r="L765" s="551"/>
      <c r="M765" s="551"/>
      <c r="N765" s="387"/>
      <c r="O765" s="387"/>
      <c r="P765" s="551"/>
      <c r="Q765" s="394"/>
      <c r="R765" s="551"/>
      <c r="S765" s="395"/>
      <c r="T765" s="395"/>
      <c r="U765" s="395"/>
      <c r="V765" s="395"/>
      <c r="W765" s="395"/>
      <c r="X765" s="622"/>
      <c r="Y765" s="458"/>
      <c r="Z765" s="458"/>
      <c r="AA765" s="458"/>
    </row>
    <row r="766" spans="1:27" s="303" customFormat="1" ht="14.25">
      <c r="A766" s="384"/>
      <c r="B766" s="384"/>
      <c r="C766" s="384"/>
      <c r="D766" s="384"/>
      <c r="E766" s="384"/>
      <c r="F766" s="384"/>
      <c r="G766" s="388"/>
      <c r="H766" s="389"/>
      <c r="I766" s="388"/>
      <c r="J766" s="391"/>
      <c r="K766" s="392"/>
      <c r="L766" s="392"/>
      <c r="M766" s="392"/>
      <c r="N766" s="388"/>
      <c r="O766" s="388"/>
      <c r="P766" s="392"/>
      <c r="Q766" s="394"/>
      <c r="R766" s="392"/>
      <c r="S766" s="395"/>
      <c r="T766" s="396"/>
      <c r="U766" s="396"/>
      <c r="V766" s="396"/>
      <c r="W766" s="396"/>
      <c r="X766" s="397"/>
      <c r="Y766" s="339"/>
      <c r="Z766" s="339"/>
      <c r="AA766" s="339"/>
    </row>
    <row r="767" spans="1:27" s="303" customFormat="1" ht="14.25">
      <c r="A767" s="384"/>
      <c r="B767" s="384"/>
      <c r="C767" s="384"/>
      <c r="D767" s="384"/>
      <c r="E767" s="384"/>
      <c r="F767" s="384"/>
      <c r="G767" s="387"/>
      <c r="H767" s="549"/>
      <c r="I767" s="387"/>
      <c r="J767" s="550"/>
      <c r="K767" s="551"/>
      <c r="L767" s="551"/>
      <c r="M767" s="551"/>
      <c r="N767" s="387"/>
      <c r="O767" s="387"/>
      <c r="P767" s="551"/>
      <c r="Q767" s="394"/>
      <c r="R767" s="551"/>
      <c r="S767" s="395"/>
      <c r="T767" s="395"/>
      <c r="U767" s="395"/>
      <c r="V767" s="395"/>
      <c r="W767" s="395"/>
      <c r="X767" s="622"/>
      <c r="Y767" s="458"/>
      <c r="Z767" s="458"/>
      <c r="AA767" s="458"/>
    </row>
    <row r="768" spans="1:27" s="303" customFormat="1" ht="14.25">
      <c r="A768" s="384"/>
      <c r="B768" s="384"/>
      <c r="C768" s="384"/>
      <c r="D768" s="384"/>
      <c r="E768" s="384"/>
      <c r="F768" s="384"/>
      <c r="G768" s="388"/>
      <c r="H768" s="389"/>
      <c r="I768" s="388"/>
      <c r="J768" s="391"/>
      <c r="K768" s="392"/>
      <c r="L768" s="392"/>
      <c r="M768" s="392"/>
      <c r="N768" s="388"/>
      <c r="O768" s="388"/>
      <c r="P768" s="392"/>
      <c r="Q768" s="394"/>
      <c r="R768" s="392"/>
      <c r="S768" s="395"/>
      <c r="T768" s="396"/>
      <c r="U768" s="396"/>
      <c r="V768" s="396"/>
      <c r="W768" s="396"/>
      <c r="X768" s="397"/>
      <c r="Y768" s="339"/>
      <c r="Z768" s="339"/>
      <c r="AA768" s="339"/>
    </row>
    <row r="769" spans="1:27" s="303" customFormat="1" ht="14.25">
      <c r="A769" s="384"/>
      <c r="B769" s="384"/>
      <c r="C769" s="384"/>
      <c r="D769" s="384"/>
      <c r="E769" s="384"/>
      <c r="F769" s="384"/>
      <c r="G769" s="387"/>
      <c r="H769" s="549"/>
      <c r="I769" s="387"/>
      <c r="J769" s="550"/>
      <c r="K769" s="551"/>
      <c r="L769" s="551"/>
      <c r="M769" s="551"/>
      <c r="N769" s="387"/>
      <c r="O769" s="387"/>
      <c r="P769" s="551"/>
      <c r="Q769" s="394"/>
      <c r="R769" s="551"/>
      <c r="S769" s="395"/>
      <c r="T769" s="395"/>
      <c r="U769" s="395"/>
      <c r="V769" s="395"/>
      <c r="W769" s="395"/>
      <c r="X769" s="622"/>
      <c r="Y769" s="458"/>
      <c r="Z769" s="458"/>
      <c r="AA769" s="458"/>
    </row>
    <row r="770" spans="1:27" s="303" customFormat="1" ht="14.25">
      <c r="A770" s="384"/>
      <c r="B770" s="384"/>
      <c r="C770" s="384"/>
      <c r="D770" s="384"/>
      <c r="E770" s="384"/>
      <c r="F770" s="384"/>
      <c r="G770" s="388"/>
      <c r="H770" s="389"/>
      <c r="I770" s="388"/>
      <c r="J770" s="391"/>
      <c r="K770" s="392"/>
      <c r="L770" s="392"/>
      <c r="M770" s="392"/>
      <c r="N770" s="388"/>
      <c r="O770" s="388"/>
      <c r="P770" s="392"/>
      <c r="Q770" s="394"/>
      <c r="R770" s="392"/>
      <c r="S770" s="395"/>
      <c r="T770" s="396"/>
      <c r="U770" s="396"/>
      <c r="V770" s="396"/>
      <c r="W770" s="396"/>
      <c r="X770" s="397"/>
      <c r="Y770" s="339"/>
      <c r="Z770" s="339"/>
      <c r="AA770" s="339"/>
    </row>
    <row r="771" spans="1:27" s="303" customFormat="1" ht="14.25">
      <c r="A771" s="384"/>
      <c r="B771" s="384"/>
      <c r="C771" s="384"/>
      <c r="D771" s="384"/>
      <c r="E771" s="384"/>
      <c r="F771" s="384"/>
      <c r="G771" s="387"/>
      <c r="H771" s="549"/>
      <c r="I771" s="387"/>
      <c r="J771" s="550"/>
      <c r="K771" s="551"/>
      <c r="L771" s="551"/>
      <c r="M771" s="551"/>
      <c r="N771" s="387"/>
      <c r="O771" s="387"/>
      <c r="P771" s="551"/>
      <c r="Q771" s="394"/>
      <c r="R771" s="551"/>
      <c r="S771" s="395"/>
      <c r="T771" s="395"/>
      <c r="U771" s="395"/>
      <c r="V771" s="395"/>
      <c r="W771" s="395"/>
      <c r="X771" s="622"/>
      <c r="Y771" s="458"/>
      <c r="Z771" s="458"/>
      <c r="AA771" s="458"/>
    </row>
    <row r="772" spans="1:27" s="303" customFormat="1" ht="14.25">
      <c r="A772" s="384"/>
      <c r="B772" s="384"/>
      <c r="C772" s="384"/>
      <c r="D772" s="384"/>
      <c r="E772" s="384"/>
      <c r="F772" s="384"/>
      <c r="G772" s="388"/>
      <c r="H772" s="389"/>
      <c r="I772" s="388"/>
      <c r="J772" s="391"/>
      <c r="K772" s="392"/>
      <c r="L772" s="392"/>
      <c r="M772" s="392"/>
      <c r="N772" s="388"/>
      <c r="O772" s="388"/>
      <c r="P772" s="392"/>
      <c r="Q772" s="394"/>
      <c r="R772" s="392"/>
      <c r="S772" s="395"/>
      <c r="T772" s="396"/>
      <c r="U772" s="396"/>
      <c r="V772" s="396"/>
      <c r="W772" s="396"/>
      <c r="X772" s="397"/>
      <c r="Y772" s="339"/>
      <c r="Z772" s="339"/>
      <c r="AA772" s="339"/>
    </row>
    <row r="773" spans="1:27" s="303" customFormat="1" ht="14.25">
      <c r="A773" s="384"/>
      <c r="B773" s="384"/>
      <c r="C773" s="384"/>
      <c r="D773" s="384"/>
      <c r="E773" s="384"/>
      <c r="F773" s="384"/>
      <c r="G773" s="387"/>
      <c r="H773" s="549"/>
      <c r="I773" s="387"/>
      <c r="J773" s="550"/>
      <c r="K773" s="551"/>
      <c r="L773" s="551"/>
      <c r="M773" s="551"/>
      <c r="N773" s="387"/>
      <c r="O773" s="387"/>
      <c r="P773" s="551"/>
      <c r="Q773" s="394"/>
      <c r="R773" s="551"/>
      <c r="S773" s="395"/>
      <c r="T773" s="395"/>
      <c r="U773" s="395"/>
      <c r="V773" s="395"/>
      <c r="W773" s="395"/>
      <c r="X773" s="622"/>
      <c r="Y773" s="458"/>
      <c r="Z773" s="458"/>
      <c r="AA773" s="458"/>
    </row>
    <row r="774" spans="1:27" s="303" customFormat="1" ht="14.25">
      <c r="A774" s="384"/>
      <c r="B774" s="384"/>
      <c r="C774" s="384"/>
      <c r="D774" s="384"/>
      <c r="E774" s="384"/>
      <c r="F774" s="384"/>
      <c r="G774" s="388"/>
      <c r="H774" s="389"/>
      <c r="I774" s="388"/>
      <c r="J774" s="391"/>
      <c r="K774" s="392"/>
      <c r="L774" s="392"/>
      <c r="M774" s="392"/>
      <c r="N774" s="388"/>
      <c r="O774" s="388"/>
      <c r="P774" s="392"/>
      <c r="Q774" s="394"/>
      <c r="R774" s="392"/>
      <c r="S774" s="395"/>
      <c r="T774" s="396"/>
      <c r="U774" s="396"/>
      <c r="V774" s="396"/>
      <c r="W774" s="396"/>
      <c r="X774" s="397"/>
      <c r="Y774" s="339"/>
      <c r="Z774" s="339"/>
      <c r="AA774" s="339"/>
    </row>
    <row r="775" spans="1:27" s="303" customFormat="1" ht="14.25">
      <c r="A775" s="384"/>
      <c r="B775" s="384"/>
      <c r="C775" s="384"/>
      <c r="D775" s="384"/>
      <c r="E775" s="384"/>
      <c r="F775" s="384"/>
      <c r="G775" s="387"/>
      <c r="H775" s="549"/>
      <c r="I775" s="387"/>
      <c r="J775" s="550"/>
      <c r="K775" s="551"/>
      <c r="L775" s="551"/>
      <c r="M775" s="551"/>
      <c r="N775" s="387"/>
      <c r="O775" s="387"/>
      <c r="P775" s="551"/>
      <c r="Q775" s="394"/>
      <c r="R775" s="551"/>
      <c r="S775" s="395"/>
      <c r="T775" s="395"/>
      <c r="U775" s="395"/>
      <c r="V775" s="395"/>
      <c r="W775" s="395"/>
      <c r="X775" s="622"/>
      <c r="Y775" s="458"/>
      <c r="Z775" s="458"/>
      <c r="AA775" s="458"/>
    </row>
    <row r="776" spans="1:27" s="303" customFormat="1" ht="14.25">
      <c r="A776" s="384"/>
      <c r="B776" s="384"/>
      <c r="C776" s="384"/>
      <c r="D776" s="384"/>
      <c r="E776" s="384"/>
      <c r="F776" s="384"/>
      <c r="G776" s="388"/>
      <c r="H776" s="389"/>
      <c r="I776" s="388"/>
      <c r="J776" s="391"/>
      <c r="K776" s="392"/>
      <c r="L776" s="392"/>
      <c r="M776" s="392"/>
      <c r="N776" s="388"/>
      <c r="O776" s="388"/>
      <c r="P776" s="392"/>
      <c r="Q776" s="394"/>
      <c r="R776" s="392"/>
      <c r="S776" s="395"/>
      <c r="T776" s="396"/>
      <c r="U776" s="396"/>
      <c r="V776" s="396"/>
      <c r="W776" s="396"/>
      <c r="X776" s="397"/>
      <c r="Y776" s="339"/>
      <c r="Z776" s="339"/>
      <c r="AA776" s="339"/>
    </row>
    <row r="777" spans="1:27" s="303" customFormat="1" ht="14.25">
      <c r="A777" s="384"/>
      <c r="B777" s="384"/>
      <c r="C777" s="384"/>
      <c r="D777" s="384"/>
      <c r="E777" s="384"/>
      <c r="F777" s="384"/>
      <c r="G777" s="387"/>
      <c r="H777" s="549"/>
      <c r="I777" s="387"/>
      <c r="J777" s="550"/>
      <c r="K777" s="551"/>
      <c r="L777" s="551"/>
      <c r="M777" s="551"/>
      <c r="N777" s="387"/>
      <c r="O777" s="387"/>
      <c r="P777" s="551"/>
      <c r="Q777" s="394"/>
      <c r="R777" s="551"/>
      <c r="S777" s="395"/>
      <c r="T777" s="395"/>
      <c r="U777" s="395"/>
      <c r="V777" s="395"/>
      <c r="W777" s="395"/>
      <c r="X777" s="622"/>
      <c r="Y777" s="458"/>
      <c r="Z777" s="458"/>
      <c r="AA777" s="458"/>
    </row>
    <row r="778" spans="1:27" s="303" customFormat="1" ht="14.25">
      <c r="A778" s="384"/>
      <c r="B778" s="384"/>
      <c r="C778" s="384"/>
      <c r="D778" s="384"/>
      <c r="E778" s="384"/>
      <c r="F778" s="384"/>
      <c r="G778" s="388"/>
      <c r="H778" s="389"/>
      <c r="I778" s="388"/>
      <c r="J778" s="391"/>
      <c r="K778" s="392"/>
      <c r="L778" s="392"/>
      <c r="M778" s="392"/>
      <c r="N778" s="388"/>
      <c r="O778" s="388"/>
      <c r="P778" s="392"/>
      <c r="Q778" s="394"/>
      <c r="R778" s="392"/>
      <c r="S778" s="395"/>
      <c r="T778" s="396"/>
      <c r="U778" s="396"/>
      <c r="V778" s="396"/>
      <c r="W778" s="396"/>
      <c r="X778" s="397"/>
      <c r="Y778" s="339"/>
      <c r="Z778" s="339"/>
      <c r="AA778" s="339"/>
    </row>
    <row r="779" spans="1:27" s="303" customFormat="1" ht="14.25">
      <c r="A779" s="384"/>
      <c r="B779" s="384"/>
      <c r="C779" s="384"/>
      <c r="D779" s="384"/>
      <c r="E779" s="384"/>
      <c r="F779" s="384"/>
      <c r="G779" s="387"/>
      <c r="H779" s="549"/>
      <c r="I779" s="387"/>
      <c r="J779" s="550"/>
      <c r="K779" s="551"/>
      <c r="L779" s="551"/>
      <c r="M779" s="551"/>
      <c r="N779" s="387"/>
      <c r="O779" s="387"/>
      <c r="P779" s="551"/>
      <c r="Q779" s="394"/>
      <c r="R779" s="551"/>
      <c r="S779" s="395"/>
      <c r="T779" s="395"/>
      <c r="U779" s="395"/>
      <c r="V779" s="395"/>
      <c r="W779" s="395"/>
      <c r="X779" s="622"/>
      <c r="Y779" s="458"/>
      <c r="Z779" s="458"/>
      <c r="AA779" s="458"/>
    </row>
    <row r="780" spans="1:27" s="303" customFormat="1" ht="14.25">
      <c r="A780" s="384"/>
      <c r="B780" s="384"/>
      <c r="C780" s="384"/>
      <c r="D780" s="384"/>
      <c r="E780" s="384"/>
      <c r="F780" s="384"/>
      <c r="G780" s="388"/>
      <c r="H780" s="389"/>
      <c r="I780" s="388"/>
      <c r="J780" s="391"/>
      <c r="K780" s="392"/>
      <c r="L780" s="392"/>
      <c r="M780" s="392"/>
      <c r="N780" s="388"/>
      <c r="O780" s="388"/>
      <c r="P780" s="392"/>
      <c r="Q780" s="394"/>
      <c r="R780" s="392"/>
      <c r="S780" s="395"/>
      <c r="T780" s="396"/>
      <c r="U780" s="396"/>
      <c r="V780" s="396"/>
      <c r="W780" s="396"/>
      <c r="X780" s="397"/>
      <c r="Y780" s="339"/>
      <c r="Z780" s="339"/>
      <c r="AA780" s="339"/>
    </row>
    <row r="781" spans="1:27" s="303" customFormat="1" ht="14.25">
      <c r="A781" s="384"/>
      <c r="B781" s="384"/>
      <c r="C781" s="384"/>
      <c r="D781" s="384"/>
      <c r="E781" s="384"/>
      <c r="F781" s="384"/>
      <c r="G781" s="387"/>
      <c r="H781" s="549"/>
      <c r="I781" s="387"/>
      <c r="J781" s="550"/>
      <c r="K781" s="551"/>
      <c r="L781" s="551"/>
      <c r="M781" s="551"/>
      <c r="N781" s="387"/>
      <c r="O781" s="387"/>
      <c r="P781" s="551"/>
      <c r="Q781" s="394"/>
      <c r="R781" s="551"/>
      <c r="S781" s="395"/>
      <c r="T781" s="395"/>
      <c r="U781" s="395"/>
      <c r="V781" s="395"/>
      <c r="W781" s="395"/>
      <c r="X781" s="622"/>
      <c r="Y781" s="458"/>
      <c r="Z781" s="458"/>
      <c r="AA781" s="458"/>
    </row>
    <row r="782" spans="1:27" s="303" customFormat="1" ht="14.25">
      <c r="A782" s="384"/>
      <c r="B782" s="384"/>
      <c r="C782" s="384"/>
      <c r="D782" s="384"/>
      <c r="E782" s="384"/>
      <c r="F782" s="384"/>
      <c r="G782" s="388"/>
      <c r="H782" s="389"/>
      <c r="I782" s="388"/>
      <c r="J782" s="391"/>
      <c r="K782" s="392"/>
      <c r="L782" s="392"/>
      <c r="M782" s="392"/>
      <c r="N782" s="388"/>
      <c r="O782" s="388"/>
      <c r="P782" s="392"/>
      <c r="Q782" s="394"/>
      <c r="R782" s="392"/>
      <c r="S782" s="395"/>
      <c r="T782" s="396"/>
      <c r="U782" s="396"/>
      <c r="V782" s="396"/>
      <c r="W782" s="396"/>
      <c r="X782" s="397"/>
      <c r="Y782" s="339"/>
      <c r="Z782" s="339"/>
      <c r="AA782" s="339"/>
    </row>
    <row r="783" spans="1:27" s="303" customFormat="1" ht="14.25">
      <c r="A783" s="384"/>
      <c r="B783" s="384"/>
      <c r="C783" s="384"/>
      <c r="D783" s="384"/>
      <c r="E783" s="384"/>
      <c r="F783" s="384"/>
      <c r="G783" s="387"/>
      <c r="H783" s="549"/>
      <c r="I783" s="387"/>
      <c r="J783" s="550"/>
      <c r="K783" s="551"/>
      <c r="L783" s="551"/>
      <c r="M783" s="551"/>
      <c r="N783" s="387"/>
      <c r="O783" s="387"/>
      <c r="P783" s="551"/>
      <c r="Q783" s="394"/>
      <c r="R783" s="551"/>
      <c r="S783" s="395"/>
      <c r="T783" s="395"/>
      <c r="U783" s="395"/>
      <c r="V783" s="395"/>
      <c r="W783" s="395"/>
      <c r="X783" s="622"/>
      <c r="Y783" s="458"/>
      <c r="Z783" s="458"/>
      <c r="AA783" s="458"/>
    </row>
    <row r="784" spans="1:27" s="303" customFormat="1" ht="14.25">
      <c r="A784" s="384"/>
      <c r="B784" s="384"/>
      <c r="C784" s="384"/>
      <c r="D784" s="384"/>
      <c r="E784" s="384"/>
      <c r="F784" s="384"/>
      <c r="G784" s="388"/>
      <c r="H784" s="389"/>
      <c r="I784" s="388"/>
      <c r="J784" s="391"/>
      <c r="K784" s="392"/>
      <c r="L784" s="392"/>
      <c r="M784" s="392"/>
      <c r="N784" s="388"/>
      <c r="O784" s="388"/>
      <c r="P784" s="392"/>
      <c r="Q784" s="394"/>
      <c r="R784" s="392"/>
      <c r="S784" s="395"/>
      <c r="T784" s="396"/>
      <c r="U784" s="396"/>
      <c r="V784" s="396"/>
      <c r="W784" s="396"/>
      <c r="X784" s="397"/>
      <c r="Y784" s="339"/>
      <c r="Z784" s="339"/>
      <c r="AA784" s="339"/>
    </row>
    <row r="785" spans="1:27" s="303" customFormat="1" ht="14.25">
      <c r="A785" s="384"/>
      <c r="B785" s="384"/>
      <c r="C785" s="384"/>
      <c r="D785" s="384"/>
      <c r="E785" s="384"/>
      <c r="F785" s="384"/>
      <c r="G785" s="387"/>
      <c r="H785" s="549"/>
      <c r="I785" s="387"/>
      <c r="J785" s="550"/>
      <c r="K785" s="551"/>
      <c r="L785" s="551"/>
      <c r="M785" s="551"/>
      <c r="N785" s="387"/>
      <c r="O785" s="387"/>
      <c r="P785" s="551"/>
      <c r="Q785" s="394"/>
      <c r="R785" s="551"/>
      <c r="S785" s="395"/>
      <c r="T785" s="395"/>
      <c r="U785" s="395"/>
      <c r="V785" s="395"/>
      <c r="W785" s="395"/>
      <c r="X785" s="622"/>
      <c r="Y785" s="458"/>
      <c r="Z785" s="458"/>
      <c r="AA785" s="458"/>
    </row>
    <row r="786" spans="1:27" s="303" customFormat="1" ht="14.25">
      <c r="A786" s="384"/>
      <c r="B786" s="384"/>
      <c r="C786" s="384"/>
      <c r="D786" s="384"/>
      <c r="E786" s="384"/>
      <c r="F786" s="384"/>
      <c r="G786" s="388"/>
      <c r="H786" s="389"/>
      <c r="I786" s="388"/>
      <c r="J786" s="391"/>
      <c r="K786" s="392"/>
      <c r="L786" s="392"/>
      <c r="M786" s="392"/>
      <c r="N786" s="388"/>
      <c r="O786" s="388"/>
      <c r="P786" s="392"/>
      <c r="Q786" s="394"/>
      <c r="R786" s="392"/>
      <c r="S786" s="395"/>
      <c r="T786" s="396"/>
      <c r="U786" s="396"/>
      <c r="V786" s="396"/>
      <c r="W786" s="396"/>
      <c r="X786" s="397"/>
      <c r="Y786" s="339"/>
      <c r="Z786" s="339"/>
      <c r="AA786" s="339"/>
    </row>
    <row r="787" spans="1:27" s="303" customFormat="1" ht="14.25">
      <c r="A787" s="384"/>
      <c r="B787" s="384"/>
      <c r="C787" s="384"/>
      <c r="D787" s="384"/>
      <c r="E787" s="384"/>
      <c r="F787" s="384"/>
      <c r="G787" s="387"/>
      <c r="H787" s="549"/>
      <c r="I787" s="387"/>
      <c r="J787" s="550"/>
      <c r="K787" s="551"/>
      <c r="L787" s="551"/>
      <c r="M787" s="551"/>
      <c r="N787" s="387"/>
      <c r="O787" s="387"/>
      <c r="P787" s="551"/>
      <c r="Q787" s="394"/>
      <c r="R787" s="551"/>
      <c r="S787" s="395"/>
      <c r="T787" s="395"/>
      <c r="U787" s="395"/>
      <c r="V787" s="395"/>
      <c r="W787" s="395"/>
      <c r="X787" s="622"/>
      <c r="Y787" s="458"/>
      <c r="Z787" s="458"/>
      <c r="AA787" s="458"/>
    </row>
    <row r="788" spans="1:27" s="303" customFormat="1" ht="14.25">
      <c r="A788" s="384"/>
      <c r="B788" s="384"/>
      <c r="C788" s="384"/>
      <c r="D788" s="384"/>
      <c r="E788" s="384"/>
      <c r="F788" s="384"/>
      <c r="G788" s="388"/>
      <c r="H788" s="389"/>
      <c r="I788" s="388"/>
      <c r="J788" s="391"/>
      <c r="K788" s="392"/>
      <c r="L788" s="392"/>
      <c r="M788" s="392"/>
      <c r="N788" s="388"/>
      <c r="O788" s="388"/>
      <c r="P788" s="392"/>
      <c r="Q788" s="394"/>
      <c r="R788" s="392"/>
      <c r="S788" s="395"/>
      <c r="T788" s="396"/>
      <c r="U788" s="396"/>
      <c r="V788" s="396"/>
      <c r="W788" s="396"/>
      <c r="X788" s="397"/>
      <c r="Y788" s="339"/>
      <c r="Z788" s="339"/>
      <c r="AA788" s="339"/>
    </row>
    <row r="789" spans="1:27" s="303" customFormat="1" ht="14.25">
      <c r="A789" s="384"/>
      <c r="B789" s="384"/>
      <c r="C789" s="384"/>
      <c r="D789" s="384"/>
      <c r="E789" s="384"/>
      <c r="F789" s="384"/>
      <c r="G789" s="387"/>
      <c r="H789" s="549"/>
      <c r="I789" s="387"/>
      <c r="J789" s="550"/>
      <c r="K789" s="551"/>
      <c r="L789" s="551"/>
      <c r="M789" s="551"/>
      <c r="N789" s="387"/>
      <c r="O789" s="387"/>
      <c r="P789" s="551"/>
      <c r="Q789" s="394"/>
      <c r="R789" s="551"/>
      <c r="S789" s="395"/>
      <c r="T789" s="395"/>
      <c r="U789" s="395"/>
      <c r="V789" s="395"/>
      <c r="W789" s="395"/>
      <c r="X789" s="622"/>
      <c r="Y789" s="458"/>
      <c r="Z789" s="458"/>
      <c r="AA789" s="458"/>
    </row>
    <row r="790" spans="1:27" s="303" customFormat="1" ht="14.25">
      <c r="A790" s="384"/>
      <c r="B790" s="384"/>
      <c r="C790" s="384"/>
      <c r="D790" s="384"/>
      <c r="E790" s="384"/>
      <c r="F790" s="384"/>
      <c r="G790" s="388"/>
      <c r="H790" s="389"/>
      <c r="I790" s="388"/>
      <c r="J790" s="391"/>
      <c r="K790" s="392"/>
      <c r="L790" s="392"/>
      <c r="M790" s="392"/>
      <c r="N790" s="388"/>
      <c r="O790" s="388"/>
      <c r="P790" s="392"/>
      <c r="Q790" s="394"/>
      <c r="R790" s="392"/>
      <c r="S790" s="395"/>
      <c r="T790" s="396"/>
      <c r="U790" s="396"/>
      <c r="V790" s="396"/>
      <c r="W790" s="396"/>
      <c r="X790" s="397"/>
      <c r="Y790" s="339"/>
      <c r="Z790" s="339"/>
      <c r="AA790" s="339"/>
    </row>
    <row r="791" spans="1:27" s="303" customFormat="1" ht="14.25">
      <c r="A791" s="384"/>
      <c r="B791" s="384"/>
      <c r="C791" s="384"/>
      <c r="D791" s="384"/>
      <c r="E791" s="384"/>
      <c r="F791" s="384"/>
      <c r="G791" s="387"/>
      <c r="H791" s="549"/>
      <c r="I791" s="387"/>
      <c r="J791" s="550"/>
      <c r="K791" s="551"/>
      <c r="L791" s="551"/>
      <c r="M791" s="551"/>
      <c r="N791" s="387"/>
      <c r="O791" s="387"/>
      <c r="P791" s="551"/>
      <c r="Q791" s="394"/>
      <c r="R791" s="551"/>
      <c r="S791" s="395"/>
      <c r="T791" s="395"/>
      <c r="U791" s="395"/>
      <c r="V791" s="395"/>
      <c r="W791" s="395"/>
      <c r="X791" s="622"/>
      <c r="Y791" s="458"/>
      <c r="Z791" s="458"/>
      <c r="AA791" s="458"/>
    </row>
    <row r="792" spans="1:27" s="303" customFormat="1" ht="14.25">
      <c r="A792" s="384"/>
      <c r="B792" s="384"/>
      <c r="C792" s="384"/>
      <c r="D792" s="384"/>
      <c r="E792" s="384"/>
      <c r="F792" s="384"/>
      <c r="G792" s="388"/>
      <c r="H792" s="389"/>
      <c r="I792" s="388"/>
      <c r="J792" s="391"/>
      <c r="K792" s="392"/>
      <c r="L792" s="392"/>
      <c r="M792" s="392"/>
      <c r="N792" s="388"/>
      <c r="O792" s="388"/>
      <c r="P792" s="392"/>
      <c r="Q792" s="394"/>
      <c r="R792" s="392"/>
      <c r="S792" s="395"/>
      <c r="T792" s="396"/>
      <c r="U792" s="396"/>
      <c r="V792" s="396"/>
      <c r="W792" s="396"/>
      <c r="X792" s="397"/>
      <c r="Y792" s="339"/>
      <c r="Z792" s="339"/>
      <c r="AA792" s="339"/>
    </row>
    <row r="793" spans="1:27" s="303" customFormat="1" ht="14.25">
      <c r="A793" s="384"/>
      <c r="B793" s="384"/>
      <c r="C793" s="384"/>
      <c r="D793" s="384"/>
      <c r="E793" s="384"/>
      <c r="F793" s="384"/>
      <c r="G793" s="387"/>
      <c r="H793" s="549"/>
      <c r="I793" s="387"/>
      <c r="J793" s="550"/>
      <c r="K793" s="551"/>
      <c r="L793" s="551"/>
      <c r="M793" s="551"/>
      <c r="N793" s="387"/>
      <c r="O793" s="387"/>
      <c r="P793" s="551"/>
      <c r="Q793" s="394"/>
      <c r="R793" s="551"/>
      <c r="S793" s="395"/>
      <c r="T793" s="395"/>
      <c r="U793" s="395"/>
      <c r="V793" s="395"/>
      <c r="W793" s="395"/>
      <c r="X793" s="622"/>
      <c r="Y793" s="458"/>
      <c r="Z793" s="458"/>
      <c r="AA793" s="458"/>
    </row>
    <row r="794" spans="1:27" s="303" customFormat="1" ht="14.25">
      <c r="A794" s="384"/>
      <c r="B794" s="384"/>
      <c r="C794" s="384"/>
      <c r="D794" s="384"/>
      <c r="E794" s="384"/>
      <c r="F794" s="384"/>
      <c r="G794" s="387"/>
      <c r="H794" s="549"/>
      <c r="I794" s="387"/>
      <c r="J794" s="550"/>
      <c r="K794" s="551"/>
      <c r="L794" s="551"/>
      <c r="M794" s="551"/>
      <c r="N794" s="387"/>
      <c r="O794" s="387"/>
      <c r="P794" s="551"/>
      <c r="Q794" s="394"/>
      <c r="R794" s="551"/>
      <c r="S794" s="395"/>
      <c r="T794" s="395"/>
      <c r="U794" s="395"/>
      <c r="V794" s="395"/>
      <c r="W794" s="395"/>
      <c r="X794" s="622"/>
      <c r="Y794" s="458"/>
      <c r="Z794" s="458"/>
      <c r="AA794" s="458"/>
    </row>
    <row r="795" spans="1:27" s="303" customFormat="1" ht="14.25">
      <c r="A795" s="384"/>
      <c r="B795" s="384"/>
      <c r="C795" s="384"/>
      <c r="D795" s="384"/>
      <c r="E795" s="384"/>
      <c r="F795" s="384"/>
      <c r="G795" s="387"/>
      <c r="H795" s="549"/>
      <c r="I795" s="387"/>
      <c r="J795" s="550"/>
      <c r="K795" s="551"/>
      <c r="L795" s="551"/>
      <c r="M795" s="551"/>
      <c r="N795" s="387"/>
      <c r="O795" s="387"/>
      <c r="P795" s="551"/>
      <c r="Q795" s="394"/>
      <c r="R795" s="551"/>
      <c r="S795" s="395"/>
      <c r="T795" s="395"/>
      <c r="U795" s="395"/>
      <c r="V795" s="395"/>
      <c r="W795" s="395"/>
      <c r="X795" s="622"/>
      <c r="Y795" s="458"/>
      <c r="Z795" s="458"/>
      <c r="AA795" s="458"/>
    </row>
    <row r="796" spans="1:27" s="303" customFormat="1" ht="14.25">
      <c r="A796" s="384"/>
      <c r="B796" s="384"/>
      <c r="C796" s="384"/>
      <c r="D796" s="384"/>
      <c r="E796" s="384"/>
      <c r="F796" s="384"/>
      <c r="G796" s="388"/>
      <c r="H796" s="389"/>
      <c r="I796" s="388"/>
      <c r="J796" s="391"/>
      <c r="K796" s="392"/>
      <c r="L796" s="392"/>
      <c r="M796" s="392"/>
      <c r="N796" s="388"/>
      <c r="O796" s="388"/>
      <c r="P796" s="392"/>
      <c r="Q796" s="394"/>
      <c r="R796" s="392"/>
      <c r="S796" s="395"/>
      <c r="T796" s="396"/>
      <c r="U796" s="396"/>
      <c r="V796" s="396"/>
      <c r="W796" s="396"/>
      <c r="X796" s="397"/>
      <c r="Y796" s="339"/>
      <c r="Z796" s="339"/>
      <c r="AA796" s="339"/>
    </row>
    <row r="797" spans="1:27" s="303" customFormat="1" ht="14.25">
      <c r="A797" s="384"/>
      <c r="B797" s="384"/>
      <c r="C797" s="384"/>
      <c r="D797" s="384"/>
      <c r="E797" s="384"/>
      <c r="F797" s="384"/>
      <c r="G797" s="387"/>
      <c r="H797" s="549"/>
      <c r="I797" s="387"/>
      <c r="J797" s="550"/>
      <c r="K797" s="551"/>
      <c r="L797" s="551"/>
      <c r="M797" s="551"/>
      <c r="N797" s="387"/>
      <c r="O797" s="387"/>
      <c r="P797" s="551"/>
      <c r="Q797" s="394"/>
      <c r="R797" s="551"/>
      <c r="S797" s="395"/>
      <c r="T797" s="395"/>
      <c r="U797" s="395"/>
      <c r="V797" s="395"/>
      <c r="W797" s="395"/>
      <c r="X797" s="622"/>
      <c r="Y797" s="458"/>
      <c r="Z797" s="458"/>
      <c r="AA797" s="458"/>
    </row>
    <row r="798" spans="1:27" s="303" customFormat="1" ht="14.25">
      <c r="A798" s="384"/>
      <c r="B798" s="384"/>
      <c r="C798" s="384"/>
      <c r="D798" s="384"/>
      <c r="E798" s="384"/>
      <c r="F798" s="384"/>
      <c r="G798" s="388"/>
      <c r="H798" s="389"/>
      <c r="I798" s="388"/>
      <c r="J798" s="391"/>
      <c r="K798" s="392"/>
      <c r="L798" s="392"/>
      <c r="M798" s="392"/>
      <c r="N798" s="388"/>
      <c r="O798" s="388"/>
      <c r="P798" s="392"/>
      <c r="Q798" s="394"/>
      <c r="R798" s="392"/>
      <c r="S798" s="395"/>
      <c r="T798" s="396"/>
      <c r="U798" s="396"/>
      <c r="V798" s="396"/>
      <c r="W798" s="396"/>
      <c r="X798" s="397"/>
      <c r="Y798" s="339"/>
      <c r="Z798" s="339"/>
      <c r="AA798" s="339"/>
    </row>
    <row r="799" spans="1:27" s="303" customFormat="1" ht="14.25">
      <c r="A799" s="384"/>
      <c r="B799" s="384"/>
      <c r="C799" s="384"/>
      <c r="D799" s="384"/>
      <c r="E799" s="384"/>
      <c r="F799" s="384"/>
      <c r="G799" s="387"/>
      <c r="H799" s="549"/>
      <c r="I799" s="387"/>
      <c r="J799" s="550"/>
      <c r="K799" s="551"/>
      <c r="L799" s="551"/>
      <c r="M799" s="551"/>
      <c r="N799" s="387"/>
      <c r="O799" s="387"/>
      <c r="P799" s="551"/>
      <c r="Q799" s="394"/>
      <c r="R799" s="551"/>
      <c r="S799" s="395"/>
      <c r="T799" s="395"/>
      <c r="U799" s="395"/>
      <c r="V799" s="395"/>
      <c r="W799" s="395"/>
      <c r="X799" s="622"/>
      <c r="Y799" s="458"/>
      <c r="Z799" s="458"/>
      <c r="AA799" s="458"/>
    </row>
    <row r="800" spans="1:27" s="303" customFormat="1" ht="14.25">
      <c r="A800" s="384"/>
      <c r="B800" s="384"/>
      <c r="C800" s="384"/>
      <c r="D800" s="384"/>
      <c r="E800" s="384"/>
      <c r="F800" s="384"/>
      <c r="G800" s="388"/>
      <c r="H800" s="389"/>
      <c r="I800" s="388"/>
      <c r="J800" s="391"/>
      <c r="K800" s="392"/>
      <c r="L800" s="392"/>
      <c r="M800" s="392"/>
      <c r="N800" s="388"/>
      <c r="O800" s="388"/>
      <c r="P800" s="392"/>
      <c r="Q800" s="394"/>
      <c r="R800" s="392"/>
      <c r="S800" s="395"/>
      <c r="T800" s="396"/>
      <c r="U800" s="396"/>
      <c r="V800" s="396"/>
      <c r="W800" s="396"/>
      <c r="X800" s="397"/>
      <c r="Y800" s="339"/>
      <c r="Z800" s="339"/>
      <c r="AA800" s="339"/>
    </row>
    <row r="801" spans="1:27" s="303" customFormat="1" ht="14.25">
      <c r="A801" s="384"/>
      <c r="B801" s="384"/>
      <c r="C801" s="384"/>
      <c r="D801" s="384"/>
      <c r="E801" s="384"/>
      <c r="F801" s="384"/>
      <c r="G801" s="387"/>
      <c r="H801" s="549"/>
      <c r="I801" s="387"/>
      <c r="J801" s="550"/>
      <c r="K801" s="551"/>
      <c r="L801" s="551"/>
      <c r="M801" s="551"/>
      <c r="N801" s="387"/>
      <c r="O801" s="387"/>
      <c r="P801" s="551"/>
      <c r="Q801" s="394"/>
      <c r="R801" s="551"/>
      <c r="S801" s="395"/>
      <c r="T801" s="395"/>
      <c r="U801" s="395"/>
      <c r="V801" s="395"/>
      <c r="W801" s="395"/>
      <c r="X801" s="622"/>
      <c r="Y801" s="458"/>
      <c r="Z801" s="458"/>
      <c r="AA801" s="458"/>
    </row>
    <row r="802" spans="1:27" s="303" customFormat="1" ht="14.25">
      <c r="A802" s="384"/>
      <c r="B802" s="384"/>
      <c r="C802" s="384"/>
      <c r="D802" s="384"/>
      <c r="E802" s="384"/>
      <c r="F802" s="384"/>
      <c r="G802" s="388"/>
      <c r="H802" s="389"/>
      <c r="I802" s="388"/>
      <c r="J802" s="391"/>
      <c r="K802" s="392"/>
      <c r="L802" s="392"/>
      <c r="M802" s="392"/>
      <c r="N802" s="388"/>
      <c r="O802" s="388"/>
      <c r="P802" s="392"/>
      <c r="Q802" s="394"/>
      <c r="R802" s="392"/>
      <c r="S802" s="395"/>
      <c r="T802" s="396"/>
      <c r="U802" s="396"/>
      <c r="V802" s="396"/>
      <c r="W802" s="396"/>
      <c r="X802" s="397"/>
      <c r="Y802" s="339"/>
      <c r="Z802" s="339"/>
      <c r="AA802" s="339"/>
    </row>
    <row r="803" spans="1:27" s="303" customFormat="1" ht="14.25">
      <c r="A803" s="384"/>
      <c r="B803" s="384"/>
      <c r="C803" s="384"/>
      <c r="D803" s="384"/>
      <c r="E803" s="384"/>
      <c r="F803" s="384"/>
      <c r="G803" s="387"/>
      <c r="H803" s="549"/>
      <c r="I803" s="387"/>
      <c r="J803" s="550"/>
      <c r="K803" s="551"/>
      <c r="L803" s="551"/>
      <c r="M803" s="551"/>
      <c r="N803" s="387"/>
      <c r="O803" s="387"/>
      <c r="P803" s="551"/>
      <c r="Q803" s="394"/>
      <c r="R803" s="551"/>
      <c r="S803" s="395"/>
      <c r="T803" s="395"/>
      <c r="U803" s="395"/>
      <c r="V803" s="395"/>
      <c r="W803" s="395"/>
      <c r="X803" s="622"/>
      <c r="Y803" s="458"/>
      <c r="Z803" s="458"/>
      <c r="AA803" s="458"/>
    </row>
    <row r="804" spans="1:27" s="303" customFormat="1" ht="14.25">
      <c r="A804" s="384"/>
      <c r="B804" s="384"/>
      <c r="C804" s="384"/>
      <c r="D804" s="384"/>
      <c r="E804" s="384"/>
      <c r="F804" s="384"/>
      <c r="G804" s="388"/>
      <c r="H804" s="389"/>
      <c r="I804" s="388"/>
      <c r="J804" s="391"/>
      <c r="K804" s="392"/>
      <c r="L804" s="392"/>
      <c r="M804" s="392"/>
      <c r="N804" s="388"/>
      <c r="O804" s="388"/>
      <c r="P804" s="392"/>
      <c r="Q804" s="394"/>
      <c r="R804" s="392"/>
      <c r="S804" s="395"/>
      <c r="T804" s="396"/>
      <c r="U804" s="396"/>
      <c r="V804" s="396"/>
      <c r="W804" s="396"/>
      <c r="X804" s="397"/>
      <c r="Y804" s="339"/>
      <c r="Z804" s="339"/>
      <c r="AA804" s="339"/>
    </row>
    <row r="805" spans="1:27" s="303" customFormat="1" ht="14.25">
      <c r="A805" s="384"/>
      <c r="B805" s="384"/>
      <c r="C805" s="384"/>
      <c r="D805" s="384"/>
      <c r="E805" s="384"/>
      <c r="F805" s="384"/>
      <c r="G805" s="387"/>
      <c r="H805" s="549"/>
      <c r="I805" s="387"/>
      <c r="J805" s="550"/>
      <c r="K805" s="551"/>
      <c r="L805" s="551"/>
      <c r="M805" s="551"/>
      <c r="N805" s="387"/>
      <c r="O805" s="387"/>
      <c r="P805" s="551"/>
      <c r="Q805" s="394"/>
      <c r="R805" s="551"/>
      <c r="S805" s="395"/>
      <c r="T805" s="395"/>
      <c r="U805" s="395"/>
      <c r="V805" s="395"/>
      <c r="W805" s="395"/>
      <c r="X805" s="622"/>
      <c r="Y805" s="458"/>
      <c r="Z805" s="458"/>
      <c r="AA805" s="458"/>
    </row>
    <row r="806" spans="1:27" s="303" customFormat="1" ht="14.25">
      <c r="A806" s="384"/>
      <c r="B806" s="384"/>
      <c r="C806" s="384"/>
      <c r="D806" s="384"/>
      <c r="E806" s="384"/>
      <c r="F806" s="384"/>
      <c r="G806" s="388"/>
      <c r="H806" s="389"/>
      <c r="I806" s="388"/>
      <c r="J806" s="391"/>
      <c r="K806" s="392"/>
      <c r="L806" s="392"/>
      <c r="M806" s="392"/>
      <c r="N806" s="388"/>
      <c r="O806" s="388"/>
      <c r="P806" s="392"/>
      <c r="Q806" s="394"/>
      <c r="R806" s="392"/>
      <c r="S806" s="395"/>
      <c r="T806" s="396"/>
      <c r="U806" s="396"/>
      <c r="V806" s="396"/>
      <c r="W806" s="396"/>
      <c r="X806" s="397"/>
      <c r="Y806" s="339"/>
      <c r="Z806" s="339"/>
      <c r="AA806" s="339"/>
    </row>
    <row r="807" spans="1:27" s="303" customFormat="1" ht="14.25">
      <c r="A807" s="384"/>
      <c r="B807" s="384"/>
      <c r="C807" s="384"/>
      <c r="D807" s="384"/>
      <c r="E807" s="384"/>
      <c r="F807" s="384"/>
      <c r="G807" s="387"/>
      <c r="H807" s="549"/>
      <c r="I807" s="387"/>
      <c r="J807" s="550"/>
      <c r="K807" s="551"/>
      <c r="L807" s="551"/>
      <c r="M807" s="551"/>
      <c r="N807" s="387"/>
      <c r="O807" s="387"/>
      <c r="P807" s="551"/>
      <c r="Q807" s="394"/>
      <c r="R807" s="551"/>
      <c r="S807" s="395"/>
      <c r="T807" s="395"/>
      <c r="U807" s="395"/>
      <c r="V807" s="395"/>
      <c r="W807" s="395"/>
      <c r="X807" s="622"/>
      <c r="Y807" s="458"/>
      <c r="Z807" s="458"/>
      <c r="AA807" s="458"/>
    </row>
    <row r="808" spans="1:27" s="303" customFormat="1" ht="14.25">
      <c r="A808" s="384"/>
      <c r="B808" s="384"/>
      <c r="C808" s="384"/>
      <c r="D808" s="384"/>
      <c r="E808" s="384"/>
      <c r="F808" s="384"/>
      <c r="G808" s="388"/>
      <c r="H808" s="389"/>
      <c r="I808" s="388"/>
      <c r="J808" s="391"/>
      <c r="K808" s="392"/>
      <c r="L808" s="392"/>
      <c r="M808" s="392"/>
      <c r="N808" s="388"/>
      <c r="O808" s="388"/>
      <c r="P808" s="392"/>
      <c r="Q808" s="394"/>
      <c r="R808" s="392"/>
      <c r="S808" s="395"/>
      <c r="T808" s="396"/>
      <c r="U808" s="396"/>
      <c r="V808" s="396"/>
      <c r="W808" s="396"/>
      <c r="X808" s="397"/>
      <c r="Y808" s="339"/>
      <c r="Z808" s="339"/>
      <c r="AA808" s="339"/>
    </row>
    <row r="809" spans="1:27" s="303" customFormat="1" ht="14.25">
      <c r="A809" s="384"/>
      <c r="B809" s="384"/>
      <c r="C809" s="384"/>
      <c r="D809" s="384"/>
      <c r="E809" s="384"/>
      <c r="F809" s="384"/>
      <c r="G809" s="387"/>
      <c r="H809" s="549"/>
      <c r="I809" s="387"/>
      <c r="J809" s="550"/>
      <c r="K809" s="551"/>
      <c r="L809" s="551"/>
      <c r="M809" s="551"/>
      <c r="N809" s="387"/>
      <c r="O809" s="387"/>
      <c r="P809" s="551"/>
      <c r="Q809" s="394"/>
      <c r="R809" s="551"/>
      <c r="S809" s="395"/>
      <c r="T809" s="395"/>
      <c r="U809" s="395"/>
      <c r="V809" s="395"/>
      <c r="W809" s="395"/>
      <c r="X809" s="622"/>
      <c r="Y809" s="458"/>
      <c r="Z809" s="458"/>
      <c r="AA809" s="458"/>
    </row>
    <row r="810" spans="1:27" s="303" customFormat="1" ht="14.25">
      <c r="A810" s="384"/>
      <c r="B810" s="384"/>
      <c r="C810" s="384"/>
      <c r="D810" s="384"/>
      <c r="E810" s="384"/>
      <c r="F810" s="384"/>
      <c r="G810" s="388"/>
      <c r="H810" s="389"/>
      <c r="I810" s="388"/>
      <c r="J810" s="391"/>
      <c r="K810" s="392"/>
      <c r="L810" s="392"/>
      <c r="M810" s="392"/>
      <c r="N810" s="388"/>
      <c r="O810" s="388"/>
      <c r="P810" s="392"/>
      <c r="Q810" s="394"/>
      <c r="R810" s="392"/>
      <c r="S810" s="395"/>
      <c r="T810" s="396"/>
      <c r="U810" s="396"/>
      <c r="V810" s="396"/>
      <c r="W810" s="396"/>
      <c r="X810" s="397"/>
      <c r="Y810" s="339"/>
      <c r="Z810" s="339"/>
      <c r="AA810" s="339"/>
    </row>
    <row r="811" spans="1:27" s="303" customFormat="1" ht="14.25">
      <c r="A811" s="384"/>
      <c r="B811" s="384"/>
      <c r="C811" s="384"/>
      <c r="D811" s="384"/>
      <c r="E811" s="384"/>
      <c r="F811" s="384"/>
      <c r="G811" s="387"/>
      <c r="H811" s="549"/>
      <c r="I811" s="387"/>
      <c r="J811" s="550"/>
      <c r="K811" s="551"/>
      <c r="L811" s="551"/>
      <c r="M811" s="551"/>
      <c r="N811" s="387"/>
      <c r="O811" s="387"/>
      <c r="P811" s="551"/>
      <c r="Q811" s="394"/>
      <c r="R811" s="551"/>
      <c r="S811" s="395"/>
      <c r="T811" s="395"/>
      <c r="U811" s="395"/>
      <c r="V811" s="395"/>
      <c r="W811" s="395"/>
      <c r="X811" s="622"/>
      <c r="Y811" s="458"/>
      <c r="Z811" s="458"/>
      <c r="AA811" s="458"/>
    </row>
    <row r="812" spans="1:27" s="303" customFormat="1" ht="14.25">
      <c r="A812" s="384"/>
      <c r="B812" s="384"/>
      <c r="C812" s="384"/>
      <c r="D812" s="384"/>
      <c r="E812" s="384"/>
      <c r="F812" s="384"/>
      <c r="G812" s="388"/>
      <c r="H812" s="389"/>
      <c r="I812" s="388"/>
      <c r="J812" s="391"/>
      <c r="K812" s="392"/>
      <c r="L812" s="392"/>
      <c r="M812" s="392"/>
      <c r="N812" s="388"/>
      <c r="O812" s="388"/>
      <c r="P812" s="392"/>
      <c r="Q812" s="394"/>
      <c r="R812" s="392"/>
      <c r="S812" s="395"/>
      <c r="T812" s="396"/>
      <c r="U812" s="396"/>
      <c r="V812" s="396"/>
      <c r="W812" s="396"/>
      <c r="X812" s="397"/>
      <c r="Y812" s="339"/>
      <c r="Z812" s="339"/>
      <c r="AA812" s="339"/>
    </row>
    <row r="813" spans="1:27" s="303" customFormat="1" ht="14.25">
      <c r="A813" s="384"/>
      <c r="B813" s="384"/>
      <c r="C813" s="384"/>
      <c r="D813" s="384"/>
      <c r="E813" s="384"/>
      <c r="F813" s="384"/>
      <c r="G813" s="387"/>
      <c r="H813" s="549"/>
      <c r="I813" s="387"/>
      <c r="J813" s="550"/>
      <c r="K813" s="551"/>
      <c r="L813" s="551"/>
      <c r="M813" s="551"/>
      <c r="N813" s="387"/>
      <c r="O813" s="387"/>
      <c r="P813" s="551"/>
      <c r="Q813" s="394"/>
      <c r="R813" s="551"/>
      <c r="S813" s="395"/>
      <c r="T813" s="395"/>
      <c r="U813" s="395"/>
      <c r="V813" s="395"/>
      <c r="W813" s="395"/>
      <c r="X813" s="622"/>
      <c r="Y813" s="458"/>
      <c r="Z813" s="458"/>
      <c r="AA813" s="458"/>
    </row>
    <row r="814" spans="1:27" s="303" customFormat="1" ht="14.25">
      <c r="A814" s="384"/>
      <c r="B814" s="384"/>
      <c r="C814" s="384"/>
      <c r="D814" s="384"/>
      <c r="E814" s="384"/>
      <c r="F814" s="384"/>
      <c r="G814" s="388"/>
      <c r="H814" s="389"/>
      <c r="I814" s="388"/>
      <c r="J814" s="391"/>
      <c r="K814" s="392"/>
      <c r="L814" s="392"/>
      <c r="M814" s="392"/>
      <c r="N814" s="388"/>
      <c r="O814" s="388"/>
      <c r="P814" s="392"/>
      <c r="Q814" s="394"/>
      <c r="R814" s="392"/>
      <c r="S814" s="395"/>
      <c r="T814" s="396"/>
      <c r="U814" s="396"/>
      <c r="V814" s="396"/>
      <c r="W814" s="396"/>
      <c r="X814" s="397"/>
      <c r="Y814" s="339"/>
      <c r="Z814" s="339"/>
      <c r="AA814" s="339"/>
    </row>
    <row r="815" spans="1:27" s="303" customFormat="1" ht="14.25">
      <c r="A815" s="384"/>
      <c r="B815" s="384"/>
      <c r="C815" s="384"/>
      <c r="D815" s="384"/>
      <c r="E815" s="384"/>
      <c r="F815" s="384"/>
      <c r="G815" s="387"/>
      <c r="H815" s="549"/>
      <c r="I815" s="387"/>
      <c r="J815" s="550"/>
      <c r="K815" s="551"/>
      <c r="L815" s="551"/>
      <c r="M815" s="551"/>
      <c r="N815" s="387"/>
      <c r="O815" s="387"/>
      <c r="P815" s="551"/>
      <c r="Q815" s="394"/>
      <c r="R815" s="551"/>
      <c r="S815" s="395"/>
      <c r="T815" s="395"/>
      <c r="U815" s="395"/>
      <c r="V815" s="395"/>
      <c r="W815" s="395"/>
      <c r="X815" s="622"/>
      <c r="Y815" s="458"/>
      <c r="Z815" s="458"/>
      <c r="AA815" s="458"/>
    </row>
    <row r="816" spans="1:27" s="303" customFormat="1" ht="14.25">
      <c r="A816" s="384"/>
      <c r="B816" s="384"/>
      <c r="C816" s="384"/>
      <c r="D816" s="384"/>
      <c r="E816" s="384"/>
      <c r="F816" s="384"/>
      <c r="G816" s="388"/>
      <c r="H816" s="389"/>
      <c r="I816" s="388"/>
      <c r="J816" s="391"/>
      <c r="K816" s="392"/>
      <c r="L816" s="392"/>
      <c r="M816" s="392"/>
      <c r="N816" s="388"/>
      <c r="O816" s="388"/>
      <c r="P816" s="392"/>
      <c r="Q816" s="394"/>
      <c r="R816" s="392"/>
      <c r="S816" s="395"/>
      <c r="T816" s="396"/>
      <c r="U816" s="396"/>
      <c r="V816" s="396"/>
      <c r="W816" s="396"/>
      <c r="X816" s="397"/>
      <c r="Y816" s="339"/>
      <c r="Z816" s="339"/>
      <c r="AA816" s="339"/>
    </row>
    <row r="817" spans="1:27" s="303" customFormat="1" ht="14.25">
      <c r="A817" s="384"/>
      <c r="B817" s="384"/>
      <c r="C817" s="384"/>
      <c r="D817" s="384"/>
      <c r="E817" s="384"/>
      <c r="F817" s="384"/>
      <c r="G817" s="387"/>
      <c r="H817" s="549"/>
      <c r="I817" s="387"/>
      <c r="J817" s="550"/>
      <c r="K817" s="551"/>
      <c r="L817" s="551"/>
      <c r="M817" s="551"/>
      <c r="N817" s="387"/>
      <c r="O817" s="387"/>
      <c r="P817" s="551"/>
      <c r="Q817" s="394"/>
      <c r="R817" s="551"/>
      <c r="S817" s="395"/>
      <c r="T817" s="395"/>
      <c r="U817" s="395"/>
      <c r="V817" s="395"/>
      <c r="W817" s="395"/>
      <c r="X817" s="622"/>
      <c r="Y817" s="458"/>
      <c r="Z817" s="458"/>
      <c r="AA817" s="458"/>
    </row>
    <row r="818" spans="1:27" s="303" customFormat="1" ht="14.25">
      <c r="A818" s="384"/>
      <c r="B818" s="384"/>
      <c r="C818" s="384"/>
      <c r="D818" s="384"/>
      <c r="E818" s="384"/>
      <c r="F818" s="384"/>
      <c r="G818" s="387"/>
      <c r="H818" s="549"/>
      <c r="I818" s="387"/>
      <c r="J818" s="550"/>
      <c r="K818" s="551"/>
      <c r="L818" s="551"/>
      <c r="M818" s="551"/>
      <c r="N818" s="387"/>
      <c r="O818" s="387"/>
      <c r="P818" s="551"/>
      <c r="Q818" s="394"/>
      <c r="R818" s="551"/>
      <c r="S818" s="395"/>
      <c r="T818" s="395"/>
      <c r="U818" s="395"/>
      <c r="V818" s="395"/>
      <c r="W818" s="395"/>
      <c r="X818" s="622"/>
      <c r="Y818" s="458"/>
      <c r="Z818" s="458"/>
      <c r="AA818" s="458"/>
    </row>
    <row r="819" spans="1:27" s="303" customFormat="1" ht="14.25">
      <c r="A819" s="384"/>
      <c r="B819" s="384"/>
      <c r="C819" s="384"/>
      <c r="D819" s="384"/>
      <c r="E819" s="384"/>
      <c r="F819" s="384"/>
      <c r="G819" s="387"/>
      <c r="H819" s="549"/>
      <c r="I819" s="387"/>
      <c r="J819" s="550"/>
      <c r="K819" s="551"/>
      <c r="L819" s="551"/>
      <c r="M819" s="551"/>
      <c r="N819" s="387"/>
      <c r="O819" s="387"/>
      <c r="P819" s="551"/>
      <c r="Q819" s="394"/>
      <c r="R819" s="551"/>
      <c r="S819" s="395"/>
      <c r="T819" s="395"/>
      <c r="U819" s="395"/>
      <c r="V819" s="395"/>
      <c r="W819" s="395"/>
      <c r="X819" s="622"/>
      <c r="Y819" s="458"/>
      <c r="Z819" s="458"/>
      <c r="AA819" s="458"/>
    </row>
    <row r="820" spans="1:27" s="303" customFormat="1" ht="14.25">
      <c r="A820" s="384"/>
      <c r="B820" s="384"/>
      <c r="C820" s="384"/>
      <c r="D820" s="384"/>
      <c r="E820" s="384"/>
      <c r="F820" s="384"/>
      <c r="G820" s="388"/>
      <c r="H820" s="389"/>
      <c r="I820" s="388"/>
      <c r="J820" s="391"/>
      <c r="K820" s="392"/>
      <c r="L820" s="392"/>
      <c r="M820" s="392"/>
      <c r="N820" s="388"/>
      <c r="O820" s="388"/>
      <c r="P820" s="392"/>
      <c r="Q820" s="394"/>
      <c r="R820" s="392"/>
      <c r="S820" s="395"/>
      <c r="T820" s="396"/>
      <c r="U820" s="396"/>
      <c r="V820" s="396"/>
      <c r="W820" s="396"/>
      <c r="X820" s="397"/>
      <c r="Y820" s="339"/>
      <c r="Z820" s="339"/>
      <c r="AA820" s="339"/>
    </row>
    <row r="821" spans="1:27" s="303" customFormat="1" ht="14.25">
      <c r="A821" s="384"/>
      <c r="B821" s="384"/>
      <c r="C821" s="384"/>
      <c r="D821" s="384"/>
      <c r="E821" s="384"/>
      <c r="F821" s="384"/>
      <c r="G821" s="387"/>
      <c r="H821" s="549"/>
      <c r="I821" s="387"/>
      <c r="J821" s="550"/>
      <c r="K821" s="551"/>
      <c r="L821" s="551"/>
      <c r="M821" s="551"/>
      <c r="N821" s="387"/>
      <c r="O821" s="387"/>
      <c r="P821" s="551"/>
      <c r="Q821" s="394"/>
      <c r="R821" s="551"/>
      <c r="S821" s="395"/>
      <c r="T821" s="395"/>
      <c r="U821" s="395"/>
      <c r="V821" s="395"/>
      <c r="W821" s="395"/>
      <c r="X821" s="622"/>
      <c r="Y821" s="458"/>
      <c r="Z821" s="458"/>
      <c r="AA821" s="458"/>
    </row>
    <row r="822" spans="1:27" s="303" customFormat="1" ht="14.25">
      <c r="A822" s="384"/>
      <c r="B822" s="384"/>
      <c r="C822" s="384"/>
      <c r="D822" s="384"/>
      <c r="E822" s="384"/>
      <c r="F822" s="384"/>
      <c r="G822" s="388"/>
      <c r="H822" s="389"/>
      <c r="I822" s="388"/>
      <c r="J822" s="391"/>
      <c r="K822" s="392"/>
      <c r="L822" s="392"/>
      <c r="M822" s="392"/>
      <c r="N822" s="388"/>
      <c r="O822" s="388"/>
      <c r="P822" s="392"/>
      <c r="Q822" s="394"/>
      <c r="R822" s="392"/>
      <c r="S822" s="395"/>
      <c r="T822" s="396"/>
      <c r="U822" s="396"/>
      <c r="V822" s="396"/>
      <c r="W822" s="396"/>
      <c r="X822" s="397"/>
      <c r="Y822" s="339"/>
      <c r="Z822" s="339"/>
      <c r="AA822" s="339"/>
    </row>
    <row r="823" spans="1:27" s="303" customFormat="1" ht="14.25">
      <c r="A823" s="384"/>
      <c r="B823" s="384"/>
      <c r="C823" s="384"/>
      <c r="D823" s="384"/>
      <c r="E823" s="384"/>
      <c r="F823" s="384"/>
      <c r="G823" s="387"/>
      <c r="H823" s="549"/>
      <c r="I823" s="387"/>
      <c r="J823" s="550"/>
      <c r="K823" s="551"/>
      <c r="L823" s="551"/>
      <c r="M823" s="551"/>
      <c r="N823" s="387"/>
      <c r="O823" s="387"/>
      <c r="P823" s="551"/>
      <c r="Q823" s="394"/>
      <c r="R823" s="551"/>
      <c r="S823" s="395"/>
      <c r="T823" s="395"/>
      <c r="U823" s="395"/>
      <c r="V823" s="395"/>
      <c r="W823" s="395"/>
      <c r="X823" s="622"/>
      <c r="Y823" s="458"/>
      <c r="Z823" s="458"/>
      <c r="AA823" s="458"/>
    </row>
    <row r="824" spans="1:27" s="303" customFormat="1" ht="14.25">
      <c r="A824" s="384"/>
      <c r="B824" s="384"/>
      <c r="C824" s="384"/>
      <c r="D824" s="384"/>
      <c r="E824" s="384"/>
      <c r="F824" s="384"/>
      <c r="G824" s="388"/>
      <c r="H824" s="389"/>
      <c r="I824" s="388"/>
      <c r="J824" s="391"/>
      <c r="K824" s="392"/>
      <c r="L824" s="392"/>
      <c r="M824" s="392"/>
      <c r="N824" s="388"/>
      <c r="O824" s="388"/>
      <c r="P824" s="392"/>
      <c r="Q824" s="394"/>
      <c r="R824" s="392"/>
      <c r="S824" s="395"/>
      <c r="T824" s="396"/>
      <c r="U824" s="396"/>
      <c r="V824" s="396"/>
      <c r="W824" s="396"/>
      <c r="X824" s="397"/>
      <c r="Y824" s="339"/>
      <c r="Z824" s="339"/>
      <c r="AA824" s="339"/>
    </row>
    <row r="825" spans="1:27" s="303" customFormat="1" ht="14.25">
      <c r="A825" s="384"/>
      <c r="B825" s="384"/>
      <c r="C825" s="384"/>
      <c r="D825" s="384"/>
      <c r="E825" s="384"/>
      <c r="F825" s="384"/>
      <c r="G825" s="387"/>
      <c r="H825" s="549"/>
      <c r="I825" s="387"/>
      <c r="J825" s="550"/>
      <c r="K825" s="551"/>
      <c r="L825" s="551"/>
      <c r="M825" s="551"/>
      <c r="N825" s="387"/>
      <c r="O825" s="387"/>
      <c r="P825" s="551"/>
      <c r="Q825" s="394"/>
      <c r="R825" s="551"/>
      <c r="S825" s="395"/>
      <c r="T825" s="395"/>
      <c r="U825" s="395"/>
      <c r="V825" s="395"/>
      <c r="W825" s="395"/>
      <c r="X825" s="622"/>
      <c r="Y825" s="458"/>
      <c r="Z825" s="458"/>
      <c r="AA825" s="458"/>
    </row>
    <row r="826" spans="1:27" s="303" customFormat="1" ht="14.25">
      <c r="A826" s="384"/>
      <c r="B826" s="384"/>
      <c r="C826" s="384"/>
      <c r="D826" s="384"/>
      <c r="E826" s="384"/>
      <c r="F826" s="384"/>
      <c r="G826" s="388"/>
      <c r="H826" s="389"/>
      <c r="I826" s="388"/>
      <c r="J826" s="391"/>
      <c r="K826" s="392"/>
      <c r="L826" s="392"/>
      <c r="M826" s="392"/>
      <c r="N826" s="388"/>
      <c r="O826" s="388"/>
      <c r="P826" s="392"/>
      <c r="Q826" s="394"/>
      <c r="R826" s="392"/>
      <c r="S826" s="395"/>
      <c r="T826" s="396"/>
      <c r="U826" s="396"/>
      <c r="V826" s="396"/>
      <c r="W826" s="396"/>
      <c r="X826" s="397"/>
      <c r="Y826" s="339"/>
      <c r="Z826" s="339"/>
      <c r="AA826" s="339"/>
    </row>
    <row r="827" spans="1:27" s="303" customFormat="1" ht="14.25">
      <c r="A827" s="384"/>
      <c r="B827" s="384"/>
      <c r="C827" s="384"/>
      <c r="D827" s="384"/>
      <c r="E827" s="384"/>
      <c r="F827" s="384"/>
      <c r="G827" s="387"/>
      <c r="H827" s="549"/>
      <c r="I827" s="387"/>
      <c r="J827" s="550"/>
      <c r="K827" s="551"/>
      <c r="L827" s="551"/>
      <c r="M827" s="551"/>
      <c r="N827" s="387"/>
      <c r="O827" s="387"/>
      <c r="P827" s="551"/>
      <c r="Q827" s="394"/>
      <c r="R827" s="551"/>
      <c r="S827" s="395"/>
      <c r="T827" s="395"/>
      <c r="U827" s="395"/>
      <c r="V827" s="395"/>
      <c r="W827" s="395"/>
      <c r="X827" s="622"/>
      <c r="Y827" s="458"/>
      <c r="Z827" s="458"/>
      <c r="AA827" s="458"/>
    </row>
    <row r="828" spans="1:27" s="303" customFormat="1" ht="14.25">
      <c r="A828" s="384"/>
      <c r="B828" s="384"/>
      <c r="C828" s="384"/>
      <c r="D828" s="384"/>
      <c r="E828" s="384"/>
      <c r="F828" s="384"/>
      <c r="G828" s="388"/>
      <c r="H828" s="389"/>
      <c r="I828" s="388"/>
      <c r="J828" s="391"/>
      <c r="K828" s="392"/>
      <c r="L828" s="392"/>
      <c r="M828" s="392"/>
      <c r="N828" s="388"/>
      <c r="O828" s="388"/>
      <c r="P828" s="392"/>
      <c r="Q828" s="394"/>
      <c r="R828" s="392"/>
      <c r="S828" s="395"/>
      <c r="T828" s="396"/>
      <c r="U828" s="396"/>
      <c r="V828" s="396"/>
      <c r="W828" s="396"/>
      <c r="X828" s="397"/>
      <c r="Y828" s="339"/>
      <c r="Z828" s="339"/>
      <c r="AA828" s="339"/>
    </row>
    <row r="829" spans="1:27" s="303" customFormat="1" ht="14.25">
      <c r="A829" s="384"/>
      <c r="B829" s="384"/>
      <c r="C829" s="384"/>
      <c r="D829" s="384"/>
      <c r="E829" s="384"/>
      <c r="F829" s="384"/>
      <c r="G829" s="387"/>
      <c r="H829" s="549"/>
      <c r="I829" s="387"/>
      <c r="J829" s="550"/>
      <c r="K829" s="551"/>
      <c r="L829" s="551"/>
      <c r="M829" s="551"/>
      <c r="N829" s="387"/>
      <c r="O829" s="387"/>
      <c r="P829" s="551"/>
      <c r="Q829" s="394"/>
      <c r="R829" s="551"/>
      <c r="S829" s="395"/>
      <c r="T829" s="395"/>
      <c r="U829" s="395"/>
      <c r="V829" s="395"/>
      <c r="W829" s="395"/>
      <c r="X829" s="622"/>
      <c r="Y829" s="458"/>
      <c r="Z829" s="458"/>
      <c r="AA829" s="458"/>
    </row>
    <row r="830" spans="1:27" s="303" customFormat="1" ht="14.25">
      <c r="A830" s="384"/>
      <c r="B830" s="384"/>
      <c r="C830" s="384"/>
      <c r="D830" s="384"/>
      <c r="E830" s="384"/>
      <c r="F830" s="384"/>
      <c r="G830" s="388"/>
      <c r="H830" s="389"/>
      <c r="I830" s="388"/>
      <c r="J830" s="391"/>
      <c r="K830" s="392"/>
      <c r="L830" s="392"/>
      <c r="M830" s="392"/>
      <c r="N830" s="388"/>
      <c r="O830" s="388"/>
      <c r="P830" s="392"/>
      <c r="Q830" s="394"/>
      <c r="R830" s="392"/>
      <c r="S830" s="395"/>
      <c r="T830" s="396"/>
      <c r="U830" s="396"/>
      <c r="V830" s="396"/>
      <c r="W830" s="396"/>
      <c r="X830" s="397"/>
      <c r="Y830" s="339"/>
      <c r="Z830" s="339"/>
      <c r="AA830" s="339"/>
    </row>
    <row r="831" spans="1:27" s="303" customFormat="1" ht="14.25">
      <c r="A831" s="384"/>
      <c r="B831" s="384"/>
      <c r="C831" s="384"/>
      <c r="D831" s="384"/>
      <c r="E831" s="384"/>
      <c r="F831" s="384"/>
      <c r="G831" s="387"/>
      <c r="H831" s="549"/>
      <c r="I831" s="387"/>
      <c r="J831" s="550"/>
      <c r="K831" s="551"/>
      <c r="L831" s="551"/>
      <c r="M831" s="551"/>
      <c r="N831" s="387"/>
      <c r="O831" s="387"/>
      <c r="P831" s="551"/>
      <c r="Q831" s="394"/>
      <c r="R831" s="551"/>
      <c r="S831" s="395"/>
      <c r="T831" s="395"/>
      <c r="U831" s="395"/>
      <c r="V831" s="395"/>
      <c r="W831" s="395"/>
      <c r="X831" s="622"/>
      <c r="Y831" s="458"/>
      <c r="Z831" s="458"/>
      <c r="AA831" s="458"/>
    </row>
    <row r="832" spans="1:27" s="303" customFormat="1" ht="14.25">
      <c r="A832" s="384"/>
      <c r="B832" s="384"/>
      <c r="C832" s="384"/>
      <c r="D832" s="384"/>
      <c r="E832" s="384"/>
      <c r="F832" s="384"/>
      <c r="G832" s="388"/>
      <c r="H832" s="389"/>
      <c r="I832" s="388"/>
      <c r="J832" s="391"/>
      <c r="K832" s="392"/>
      <c r="L832" s="392"/>
      <c r="M832" s="392"/>
      <c r="N832" s="388"/>
      <c r="O832" s="388"/>
      <c r="P832" s="392"/>
      <c r="Q832" s="394"/>
      <c r="R832" s="392"/>
      <c r="S832" s="395"/>
      <c r="T832" s="396"/>
      <c r="U832" s="396"/>
      <c r="V832" s="396"/>
      <c r="W832" s="396"/>
      <c r="X832" s="397"/>
      <c r="Y832" s="339"/>
      <c r="Z832" s="339"/>
      <c r="AA832" s="339"/>
    </row>
    <row r="833" spans="1:27" s="303" customFormat="1" ht="14.25">
      <c r="A833" s="384"/>
      <c r="B833" s="384"/>
      <c r="C833" s="384"/>
      <c r="D833" s="384"/>
      <c r="E833" s="384"/>
      <c r="F833" s="384"/>
      <c r="G833" s="387"/>
      <c r="H833" s="549"/>
      <c r="I833" s="387"/>
      <c r="J833" s="550"/>
      <c r="K833" s="551"/>
      <c r="L833" s="551"/>
      <c r="M833" s="551"/>
      <c r="N833" s="387"/>
      <c r="O833" s="387"/>
      <c r="P833" s="551"/>
      <c r="Q833" s="394"/>
      <c r="R833" s="551"/>
      <c r="S833" s="395"/>
      <c r="T833" s="395"/>
      <c r="U833" s="395"/>
      <c r="V833" s="395"/>
      <c r="W833" s="395"/>
      <c r="X833" s="622"/>
      <c r="Y833" s="458"/>
      <c r="Z833" s="458"/>
      <c r="AA833" s="458"/>
    </row>
    <row r="834" spans="1:27" s="303" customFormat="1" ht="14.25">
      <c r="A834" s="384"/>
      <c r="B834" s="384"/>
      <c r="C834" s="384"/>
      <c r="D834" s="384"/>
      <c r="E834" s="384"/>
      <c r="F834" s="384"/>
      <c r="G834" s="388"/>
      <c r="H834" s="389"/>
      <c r="I834" s="388"/>
      <c r="J834" s="391"/>
      <c r="K834" s="392"/>
      <c r="L834" s="392"/>
      <c r="M834" s="392"/>
      <c r="N834" s="388"/>
      <c r="O834" s="388"/>
      <c r="P834" s="392"/>
      <c r="Q834" s="394"/>
      <c r="R834" s="392"/>
      <c r="S834" s="395"/>
      <c r="T834" s="396"/>
      <c r="U834" s="396"/>
      <c r="V834" s="396"/>
      <c r="W834" s="396"/>
      <c r="X834" s="397"/>
      <c r="Y834" s="339"/>
      <c r="Z834" s="339"/>
      <c r="AA834" s="339"/>
    </row>
    <row r="835" spans="1:27" s="303" customFormat="1" ht="14.25">
      <c r="A835" s="384"/>
      <c r="B835" s="384"/>
      <c r="C835" s="384"/>
      <c r="D835" s="384"/>
      <c r="E835" s="384"/>
      <c r="F835" s="384"/>
      <c r="G835" s="387"/>
      <c r="H835" s="549"/>
      <c r="I835" s="387"/>
      <c r="J835" s="550"/>
      <c r="K835" s="551"/>
      <c r="L835" s="551"/>
      <c r="M835" s="551"/>
      <c r="N835" s="387"/>
      <c r="O835" s="387"/>
      <c r="P835" s="551"/>
      <c r="Q835" s="394"/>
      <c r="R835" s="551"/>
      <c r="S835" s="395"/>
      <c r="T835" s="395"/>
      <c r="U835" s="395"/>
      <c r="V835" s="395"/>
      <c r="W835" s="395"/>
      <c r="X835" s="622"/>
      <c r="Y835" s="458"/>
      <c r="Z835" s="458"/>
      <c r="AA835" s="458"/>
    </row>
    <row r="836" spans="1:27" s="303" customFormat="1" ht="14.25">
      <c r="A836" s="384"/>
      <c r="B836" s="384"/>
      <c r="C836" s="384"/>
      <c r="D836" s="384"/>
      <c r="E836" s="384"/>
      <c r="F836" s="384"/>
      <c r="G836" s="388"/>
      <c r="H836" s="389"/>
      <c r="I836" s="388"/>
      <c r="J836" s="391"/>
      <c r="K836" s="392"/>
      <c r="L836" s="392"/>
      <c r="M836" s="392"/>
      <c r="N836" s="388"/>
      <c r="O836" s="388"/>
      <c r="P836" s="392"/>
      <c r="Q836" s="394"/>
      <c r="R836" s="392"/>
      <c r="S836" s="395"/>
      <c r="T836" s="396"/>
      <c r="U836" s="396"/>
      <c r="V836" s="396"/>
      <c r="W836" s="396"/>
      <c r="X836" s="397"/>
      <c r="Y836" s="339"/>
      <c r="Z836" s="339"/>
      <c r="AA836" s="339"/>
    </row>
    <row r="837" spans="1:27" s="303" customFormat="1" ht="14.25">
      <c r="A837" s="384"/>
      <c r="B837" s="384"/>
      <c r="C837" s="384"/>
      <c r="D837" s="384"/>
      <c r="E837" s="384"/>
      <c r="F837" s="384"/>
      <c r="G837" s="387"/>
      <c r="H837" s="549"/>
      <c r="I837" s="387"/>
      <c r="J837" s="550"/>
      <c r="K837" s="551"/>
      <c r="L837" s="551"/>
      <c r="M837" s="551"/>
      <c r="N837" s="387"/>
      <c r="O837" s="387"/>
      <c r="P837" s="551"/>
      <c r="Q837" s="394"/>
      <c r="R837" s="551"/>
      <c r="S837" s="395"/>
      <c r="T837" s="395"/>
      <c r="U837" s="395"/>
      <c r="V837" s="395"/>
      <c r="W837" s="395"/>
      <c r="X837" s="622"/>
      <c r="Y837" s="458"/>
      <c r="Z837" s="458"/>
      <c r="AA837" s="458"/>
    </row>
    <row r="838" spans="1:27" s="303" customFormat="1" ht="14.25">
      <c r="A838" s="384"/>
      <c r="B838" s="384"/>
      <c r="C838" s="384"/>
      <c r="D838" s="384"/>
      <c r="E838" s="384"/>
      <c r="F838" s="384"/>
      <c r="G838" s="388"/>
      <c r="H838" s="389"/>
      <c r="I838" s="388"/>
      <c r="J838" s="391"/>
      <c r="K838" s="392"/>
      <c r="L838" s="392"/>
      <c r="M838" s="392"/>
      <c r="N838" s="388"/>
      <c r="O838" s="388"/>
      <c r="P838" s="392"/>
      <c r="Q838" s="394"/>
      <c r="R838" s="392"/>
      <c r="S838" s="395"/>
      <c r="T838" s="396"/>
      <c r="U838" s="396"/>
      <c r="V838" s="396"/>
      <c r="W838" s="396"/>
      <c r="X838" s="397"/>
      <c r="Y838" s="339"/>
      <c r="Z838" s="339"/>
      <c r="AA838" s="339"/>
    </row>
    <row r="839" spans="1:27" s="303" customFormat="1" ht="14.25">
      <c r="A839" s="384"/>
      <c r="B839" s="384"/>
      <c r="C839" s="384"/>
      <c r="D839" s="384"/>
      <c r="E839" s="384"/>
      <c r="F839" s="384"/>
      <c r="G839" s="387"/>
      <c r="H839" s="549"/>
      <c r="I839" s="387"/>
      <c r="J839" s="550"/>
      <c r="K839" s="551"/>
      <c r="L839" s="551"/>
      <c r="M839" s="551"/>
      <c r="N839" s="387"/>
      <c r="O839" s="387"/>
      <c r="P839" s="551"/>
      <c r="Q839" s="394"/>
      <c r="R839" s="551"/>
      <c r="S839" s="395"/>
      <c r="T839" s="395"/>
      <c r="U839" s="395"/>
      <c r="V839" s="395"/>
      <c r="W839" s="395"/>
      <c r="X839" s="622"/>
      <c r="Y839" s="458"/>
      <c r="Z839" s="458"/>
      <c r="AA839" s="458"/>
    </row>
    <row r="840" spans="1:27" s="303" customFormat="1" ht="14.25">
      <c r="A840" s="384"/>
      <c r="B840" s="384"/>
      <c r="C840" s="384"/>
      <c r="D840" s="384"/>
      <c r="E840" s="384"/>
      <c r="F840" s="384"/>
      <c r="G840" s="388"/>
      <c r="H840" s="389"/>
      <c r="I840" s="388"/>
      <c r="J840" s="391"/>
      <c r="K840" s="392"/>
      <c r="L840" s="392"/>
      <c r="M840" s="392"/>
      <c r="N840" s="388"/>
      <c r="O840" s="388"/>
      <c r="P840" s="392"/>
      <c r="Q840" s="394"/>
      <c r="R840" s="392"/>
      <c r="S840" s="395"/>
      <c r="T840" s="396"/>
      <c r="U840" s="396"/>
      <c r="V840" s="396"/>
      <c r="W840" s="396"/>
      <c r="X840" s="397"/>
      <c r="Y840" s="339"/>
      <c r="Z840" s="339"/>
      <c r="AA840" s="339"/>
    </row>
    <row r="841" spans="1:27" s="303" customFormat="1" ht="14.25">
      <c r="A841" s="384"/>
      <c r="B841" s="384"/>
      <c r="C841" s="384"/>
      <c r="D841" s="384"/>
      <c r="E841" s="384"/>
      <c r="F841" s="384"/>
      <c r="G841" s="387"/>
      <c r="H841" s="549"/>
      <c r="I841" s="387"/>
      <c r="J841" s="550"/>
      <c r="K841" s="551"/>
      <c r="L841" s="551"/>
      <c r="M841" s="551"/>
      <c r="N841" s="387"/>
      <c r="O841" s="387"/>
      <c r="P841" s="551"/>
      <c r="Q841" s="394"/>
      <c r="R841" s="551"/>
      <c r="S841" s="395"/>
      <c r="T841" s="395"/>
      <c r="U841" s="395"/>
      <c r="V841" s="395"/>
      <c r="W841" s="395"/>
      <c r="X841" s="622"/>
      <c r="Y841" s="458"/>
      <c r="Z841" s="458"/>
      <c r="AA841" s="458"/>
    </row>
    <row r="842" spans="1:27" s="303" customFormat="1" ht="14.25">
      <c r="A842" s="384"/>
      <c r="B842" s="384"/>
      <c r="C842" s="384"/>
      <c r="D842" s="384"/>
      <c r="E842" s="384"/>
      <c r="F842" s="384"/>
      <c r="G842" s="388"/>
      <c r="H842" s="389"/>
      <c r="I842" s="388"/>
      <c r="J842" s="391"/>
      <c r="K842" s="392"/>
      <c r="L842" s="392"/>
      <c r="M842" s="392"/>
      <c r="N842" s="388"/>
      <c r="O842" s="388"/>
      <c r="P842" s="392"/>
      <c r="Q842" s="394"/>
      <c r="R842" s="392"/>
      <c r="S842" s="395"/>
      <c r="T842" s="396"/>
      <c r="U842" s="396"/>
      <c r="V842" s="396"/>
      <c r="W842" s="396"/>
      <c r="X842" s="397"/>
      <c r="Y842" s="339"/>
      <c r="Z842" s="339"/>
      <c r="AA842" s="339"/>
    </row>
    <row r="843" spans="1:27" s="303" customFormat="1" ht="14.25">
      <c r="A843" s="384"/>
      <c r="B843" s="384"/>
      <c r="C843" s="384"/>
      <c r="D843" s="384"/>
      <c r="E843" s="384"/>
      <c r="F843" s="384"/>
      <c r="G843" s="387"/>
      <c r="H843" s="549"/>
      <c r="I843" s="387"/>
      <c r="J843" s="550"/>
      <c r="K843" s="551"/>
      <c r="L843" s="551"/>
      <c r="M843" s="551"/>
      <c r="N843" s="387"/>
      <c r="O843" s="387"/>
      <c r="P843" s="551"/>
      <c r="Q843" s="394"/>
      <c r="R843" s="551"/>
      <c r="S843" s="395"/>
      <c r="T843" s="395"/>
      <c r="U843" s="395"/>
      <c r="V843" s="395"/>
      <c r="W843" s="395"/>
      <c r="X843" s="622"/>
      <c r="Y843" s="458"/>
      <c r="Z843" s="458"/>
      <c r="AA843" s="458"/>
    </row>
    <row r="844" spans="1:27" s="303" customFormat="1" ht="14.25">
      <c r="A844" s="384"/>
      <c r="B844" s="384"/>
      <c r="C844" s="384"/>
      <c r="D844" s="384"/>
      <c r="E844" s="384"/>
      <c r="F844" s="384"/>
      <c r="G844" s="388"/>
      <c r="H844" s="389"/>
      <c r="I844" s="388"/>
      <c r="J844" s="391"/>
      <c r="K844" s="392"/>
      <c r="L844" s="392"/>
      <c r="M844" s="392"/>
      <c r="N844" s="388"/>
      <c r="O844" s="388"/>
      <c r="P844" s="392"/>
      <c r="Q844" s="394"/>
      <c r="R844" s="392"/>
      <c r="S844" s="395"/>
      <c r="T844" s="396"/>
      <c r="U844" s="396"/>
      <c r="V844" s="396"/>
      <c r="W844" s="396"/>
      <c r="X844" s="397"/>
      <c r="Y844" s="339"/>
      <c r="Z844" s="339"/>
      <c r="AA844" s="339"/>
    </row>
    <row r="845" spans="1:27" s="303" customFormat="1" ht="14.25">
      <c r="A845" s="384"/>
      <c r="B845" s="384"/>
      <c r="C845" s="384"/>
      <c r="D845" s="384"/>
      <c r="E845" s="384"/>
      <c r="F845" s="384"/>
      <c r="G845" s="387"/>
      <c r="H845" s="549"/>
      <c r="I845" s="387"/>
      <c r="J845" s="550"/>
      <c r="K845" s="551"/>
      <c r="L845" s="551"/>
      <c r="M845" s="551"/>
      <c r="N845" s="387"/>
      <c r="O845" s="387"/>
      <c r="P845" s="551"/>
      <c r="Q845" s="394"/>
      <c r="R845" s="551"/>
      <c r="S845" s="395"/>
      <c r="T845" s="395"/>
      <c r="U845" s="395"/>
      <c r="V845" s="395"/>
      <c r="W845" s="395"/>
      <c r="X845" s="622"/>
      <c r="Y845" s="458"/>
      <c r="Z845" s="458"/>
      <c r="AA845" s="458"/>
    </row>
    <row r="846" spans="1:27" s="303" customFormat="1" ht="14.25">
      <c r="A846" s="384"/>
      <c r="B846" s="384"/>
      <c r="C846" s="384"/>
      <c r="D846" s="384"/>
      <c r="E846" s="384"/>
      <c r="F846" s="384"/>
      <c r="G846" s="388"/>
      <c r="H846" s="389"/>
      <c r="I846" s="388"/>
      <c r="J846" s="391"/>
      <c r="K846" s="392"/>
      <c r="L846" s="392"/>
      <c r="M846" s="392"/>
      <c r="N846" s="388"/>
      <c r="O846" s="388"/>
      <c r="P846" s="392"/>
      <c r="Q846" s="394"/>
      <c r="R846" s="392"/>
      <c r="S846" s="395"/>
      <c r="T846" s="396"/>
      <c r="U846" s="396"/>
      <c r="V846" s="396"/>
      <c r="W846" s="396"/>
      <c r="X846" s="397"/>
      <c r="Y846" s="339"/>
      <c r="Z846" s="339"/>
      <c r="AA846" s="339"/>
    </row>
    <row r="847" spans="1:27" s="303" customFormat="1" ht="14.25">
      <c r="A847" s="384"/>
      <c r="B847" s="384"/>
      <c r="C847" s="384"/>
      <c r="D847" s="384"/>
      <c r="E847" s="384"/>
      <c r="F847" s="384"/>
      <c r="G847" s="387"/>
      <c r="H847" s="549"/>
      <c r="I847" s="387"/>
      <c r="J847" s="550"/>
      <c r="K847" s="551"/>
      <c r="L847" s="551"/>
      <c r="M847" s="551"/>
      <c r="N847" s="387"/>
      <c r="O847" s="387"/>
      <c r="P847" s="551"/>
      <c r="Q847" s="394"/>
      <c r="R847" s="551"/>
      <c r="S847" s="395"/>
      <c r="T847" s="395"/>
      <c r="U847" s="395"/>
      <c r="V847" s="395"/>
      <c r="W847" s="395"/>
      <c r="X847" s="622"/>
      <c r="Y847" s="458"/>
      <c r="Z847" s="458"/>
      <c r="AA847" s="458"/>
    </row>
    <row r="848" spans="1:27" s="303" customFormat="1" ht="14.25">
      <c r="A848" s="384"/>
      <c r="B848" s="384"/>
      <c r="C848" s="384"/>
      <c r="D848" s="384"/>
      <c r="E848" s="384"/>
      <c r="F848" s="384"/>
      <c r="G848" s="388"/>
      <c r="H848" s="389"/>
      <c r="I848" s="388"/>
      <c r="J848" s="391"/>
      <c r="K848" s="392"/>
      <c r="L848" s="392"/>
      <c r="M848" s="392"/>
      <c r="N848" s="388"/>
      <c r="O848" s="388"/>
      <c r="P848" s="392"/>
      <c r="Q848" s="394"/>
      <c r="R848" s="392"/>
      <c r="S848" s="395"/>
      <c r="T848" s="396"/>
      <c r="U848" s="396"/>
      <c r="V848" s="396"/>
      <c r="W848" s="396"/>
      <c r="X848" s="397"/>
      <c r="Y848" s="339"/>
      <c r="Z848" s="339"/>
      <c r="AA848" s="339"/>
    </row>
    <row r="849" spans="1:27" s="303" customFormat="1" ht="14.25">
      <c r="A849" s="384"/>
      <c r="B849" s="384"/>
      <c r="C849" s="384"/>
      <c r="D849" s="384"/>
      <c r="E849" s="384"/>
      <c r="F849" s="384"/>
      <c r="G849" s="387"/>
      <c r="H849" s="549"/>
      <c r="I849" s="387"/>
      <c r="J849" s="550"/>
      <c r="K849" s="551"/>
      <c r="L849" s="551"/>
      <c r="M849" s="551"/>
      <c r="N849" s="387"/>
      <c r="O849" s="387"/>
      <c r="P849" s="551"/>
      <c r="Q849" s="394"/>
      <c r="R849" s="551"/>
      <c r="S849" s="395"/>
      <c r="T849" s="395"/>
      <c r="U849" s="395"/>
      <c r="V849" s="395"/>
      <c r="W849" s="395"/>
      <c r="X849" s="622"/>
      <c r="Y849" s="458"/>
      <c r="Z849" s="458"/>
      <c r="AA849" s="458"/>
    </row>
    <row r="850" spans="1:27" s="303" customFormat="1" ht="14.25">
      <c r="A850" s="384"/>
      <c r="B850" s="384"/>
      <c r="C850" s="384"/>
      <c r="D850" s="384"/>
      <c r="E850" s="384"/>
      <c r="F850" s="384"/>
      <c r="G850" s="387"/>
      <c r="H850" s="549"/>
      <c r="I850" s="387"/>
      <c r="J850" s="550"/>
      <c r="K850" s="551"/>
      <c r="L850" s="551"/>
      <c r="M850" s="551"/>
      <c r="N850" s="387"/>
      <c r="O850" s="387"/>
      <c r="P850" s="551"/>
      <c r="Q850" s="394"/>
      <c r="R850" s="551"/>
      <c r="S850" s="395"/>
      <c r="T850" s="395"/>
      <c r="U850" s="395"/>
      <c r="V850" s="395"/>
      <c r="W850" s="395"/>
      <c r="X850" s="622"/>
      <c r="Y850" s="458"/>
      <c r="Z850" s="458"/>
      <c r="AA850" s="458"/>
    </row>
    <row r="851" spans="1:27" s="303" customFormat="1" ht="14.25">
      <c r="A851" s="384"/>
      <c r="B851" s="384"/>
      <c r="C851" s="384"/>
      <c r="D851" s="384"/>
      <c r="E851" s="384"/>
      <c r="F851" s="384"/>
      <c r="G851" s="387"/>
      <c r="H851" s="549"/>
      <c r="I851" s="387"/>
      <c r="J851" s="550"/>
      <c r="K851" s="551"/>
      <c r="L851" s="551"/>
      <c r="M851" s="551"/>
      <c r="N851" s="387"/>
      <c r="O851" s="387"/>
      <c r="P851" s="551"/>
      <c r="Q851" s="394"/>
      <c r="R851" s="551"/>
      <c r="S851" s="395"/>
      <c r="T851" s="395"/>
      <c r="U851" s="395"/>
      <c r="V851" s="395"/>
      <c r="W851" s="395"/>
      <c r="X851" s="622"/>
      <c r="Y851" s="458"/>
      <c r="Z851" s="458"/>
      <c r="AA851" s="458"/>
    </row>
    <row r="852" spans="1:27" s="303" customFormat="1" ht="14.25">
      <c r="A852" s="384"/>
      <c r="B852" s="384"/>
      <c r="C852" s="384"/>
      <c r="D852" s="384"/>
      <c r="E852" s="384"/>
      <c r="F852" s="384"/>
      <c r="G852" s="387"/>
      <c r="H852" s="549"/>
      <c r="I852" s="387"/>
      <c r="J852" s="550"/>
      <c r="K852" s="551"/>
      <c r="L852" s="551"/>
      <c r="M852" s="551"/>
      <c r="N852" s="387"/>
      <c r="O852" s="387"/>
      <c r="P852" s="551"/>
      <c r="Q852" s="394"/>
      <c r="R852" s="551"/>
      <c r="S852" s="395"/>
      <c r="T852" s="395"/>
      <c r="U852" s="395"/>
      <c r="V852" s="395"/>
      <c r="W852" s="395"/>
      <c r="X852" s="622"/>
      <c r="Y852" s="458"/>
      <c r="Z852" s="458"/>
      <c r="AA852" s="458"/>
    </row>
    <row r="853" spans="1:27" s="303" customFormat="1" ht="14.25">
      <c r="A853" s="384"/>
      <c r="B853" s="384"/>
      <c r="C853" s="384"/>
      <c r="D853" s="384"/>
      <c r="E853" s="384"/>
      <c r="F853" s="384"/>
      <c r="G853" s="387"/>
      <c r="H853" s="549"/>
      <c r="I853" s="387"/>
      <c r="J853" s="550"/>
      <c r="K853" s="551"/>
      <c r="L853" s="551"/>
      <c r="M853" s="551"/>
      <c r="N853" s="387"/>
      <c r="O853" s="387"/>
      <c r="P853" s="551"/>
      <c r="Q853" s="394"/>
      <c r="R853" s="551"/>
      <c r="S853" s="395"/>
      <c r="T853" s="395"/>
      <c r="U853" s="395"/>
      <c r="V853" s="395"/>
      <c r="W853" s="395"/>
      <c r="X853" s="622"/>
      <c r="Y853" s="458"/>
      <c r="Z853" s="458"/>
      <c r="AA853" s="458"/>
    </row>
    <row r="854" spans="1:27" s="303" customFormat="1" ht="14.25">
      <c r="A854" s="384"/>
      <c r="B854" s="384"/>
      <c r="C854" s="384"/>
      <c r="D854" s="384"/>
      <c r="E854" s="384"/>
      <c r="F854" s="384"/>
      <c r="G854" s="387"/>
      <c r="H854" s="549"/>
      <c r="I854" s="387"/>
      <c r="J854" s="550"/>
      <c r="K854" s="551"/>
      <c r="L854" s="551"/>
      <c r="M854" s="551"/>
      <c r="N854" s="387"/>
      <c r="O854" s="387"/>
      <c r="P854" s="551"/>
      <c r="Q854" s="394"/>
      <c r="R854" s="551"/>
      <c r="S854" s="395"/>
      <c r="T854" s="395"/>
      <c r="U854" s="395"/>
      <c r="V854" s="395"/>
      <c r="W854" s="395"/>
      <c r="X854" s="622"/>
      <c r="Y854" s="458"/>
      <c r="Z854" s="458"/>
      <c r="AA854" s="458"/>
    </row>
    <row r="855" spans="1:27" s="303" customFormat="1" ht="14.25">
      <c r="A855" s="384"/>
      <c r="B855" s="384"/>
      <c r="C855" s="384"/>
      <c r="D855" s="384"/>
      <c r="E855" s="384"/>
      <c r="F855" s="384"/>
      <c r="G855" s="387"/>
      <c r="H855" s="549"/>
      <c r="I855" s="387"/>
      <c r="J855" s="550"/>
      <c r="K855" s="551"/>
      <c r="L855" s="551"/>
      <c r="M855" s="551"/>
      <c r="N855" s="387"/>
      <c r="O855" s="387"/>
      <c r="P855" s="551"/>
      <c r="Q855" s="394"/>
      <c r="R855" s="551"/>
      <c r="S855" s="395"/>
      <c r="T855" s="395"/>
      <c r="U855" s="395"/>
      <c r="V855" s="395"/>
      <c r="W855" s="395"/>
      <c r="X855" s="622"/>
      <c r="Y855" s="458"/>
      <c r="Z855" s="458"/>
      <c r="AA855" s="458"/>
    </row>
    <row r="856" spans="1:27" s="303" customFormat="1" ht="14.25">
      <c r="A856" s="384"/>
      <c r="B856" s="384"/>
      <c r="C856" s="384"/>
      <c r="D856" s="384"/>
      <c r="E856" s="384"/>
      <c r="F856" s="384"/>
      <c r="G856" s="388"/>
      <c r="H856" s="389"/>
      <c r="I856" s="388"/>
      <c r="J856" s="391"/>
      <c r="K856" s="392"/>
      <c r="L856" s="392"/>
      <c r="M856" s="392"/>
      <c r="N856" s="388"/>
      <c r="O856" s="388"/>
      <c r="P856" s="392"/>
      <c r="Q856" s="394"/>
      <c r="R856" s="392"/>
      <c r="S856" s="395"/>
      <c r="T856" s="396"/>
      <c r="U856" s="396"/>
      <c r="V856" s="396"/>
      <c r="W856" s="396"/>
      <c r="X856" s="397"/>
      <c r="Y856" s="339"/>
      <c r="Z856" s="339"/>
      <c r="AA856" s="339"/>
    </row>
    <row r="857" spans="1:27" s="303" customFormat="1" ht="14.25">
      <c r="A857" s="384"/>
      <c r="B857" s="384"/>
      <c r="C857" s="384"/>
      <c r="D857" s="384"/>
      <c r="E857" s="384"/>
      <c r="F857" s="384"/>
      <c r="G857" s="387"/>
      <c r="H857" s="549"/>
      <c r="I857" s="387"/>
      <c r="J857" s="550"/>
      <c r="K857" s="551"/>
      <c r="L857" s="551"/>
      <c r="M857" s="551"/>
      <c r="N857" s="387"/>
      <c r="O857" s="387"/>
      <c r="P857" s="551"/>
      <c r="Q857" s="394"/>
      <c r="R857" s="551"/>
      <c r="S857" s="395"/>
      <c r="T857" s="395"/>
      <c r="U857" s="395"/>
      <c r="V857" s="395"/>
      <c r="W857" s="395"/>
      <c r="X857" s="622"/>
      <c r="Y857" s="458"/>
      <c r="Z857" s="458"/>
      <c r="AA857" s="458"/>
    </row>
    <row r="858" spans="1:27" s="303" customFormat="1" ht="14.25">
      <c r="A858" s="384"/>
      <c r="B858" s="384"/>
      <c r="C858" s="384"/>
      <c r="D858" s="384"/>
      <c r="E858" s="384"/>
      <c r="F858" s="384"/>
      <c r="G858" s="388"/>
      <c r="H858" s="389"/>
      <c r="I858" s="388"/>
      <c r="J858" s="391"/>
      <c r="K858" s="392"/>
      <c r="L858" s="392"/>
      <c r="M858" s="392"/>
      <c r="N858" s="388"/>
      <c r="O858" s="388"/>
      <c r="P858" s="392"/>
      <c r="Q858" s="394"/>
      <c r="R858" s="392"/>
      <c r="S858" s="395"/>
      <c r="T858" s="396"/>
      <c r="U858" s="396"/>
      <c r="V858" s="396"/>
      <c r="W858" s="396"/>
      <c r="X858" s="397"/>
      <c r="Y858" s="339"/>
      <c r="Z858" s="339"/>
      <c r="AA858" s="339"/>
    </row>
    <row r="859" spans="1:27" s="303" customFormat="1" ht="14.25">
      <c r="A859" s="384"/>
      <c r="B859" s="384"/>
      <c r="C859" s="384"/>
      <c r="D859" s="384"/>
      <c r="E859" s="384"/>
      <c r="F859" s="384"/>
      <c r="G859" s="387"/>
      <c r="H859" s="549"/>
      <c r="I859" s="387"/>
      <c r="J859" s="550"/>
      <c r="K859" s="551"/>
      <c r="L859" s="551"/>
      <c r="M859" s="551"/>
      <c r="N859" s="387"/>
      <c r="O859" s="387"/>
      <c r="P859" s="551"/>
      <c r="Q859" s="394"/>
      <c r="R859" s="551"/>
      <c r="S859" s="395"/>
      <c r="T859" s="395"/>
      <c r="U859" s="395"/>
      <c r="V859" s="395"/>
      <c r="W859" s="395"/>
      <c r="X859" s="622"/>
      <c r="Y859" s="458"/>
      <c r="Z859" s="458"/>
      <c r="AA859" s="458"/>
    </row>
    <row r="860" spans="1:27" s="303" customFormat="1" ht="14.25">
      <c r="A860" s="384"/>
      <c r="B860" s="384"/>
      <c r="C860" s="384"/>
      <c r="D860" s="384"/>
      <c r="E860" s="384"/>
      <c r="F860" s="384"/>
      <c r="G860" s="388"/>
      <c r="H860" s="389"/>
      <c r="I860" s="388"/>
      <c r="J860" s="391"/>
      <c r="K860" s="392"/>
      <c r="L860" s="392"/>
      <c r="M860" s="392"/>
      <c r="N860" s="388"/>
      <c r="O860" s="388"/>
      <c r="P860" s="392"/>
      <c r="Q860" s="394"/>
      <c r="R860" s="392"/>
      <c r="S860" s="395"/>
      <c r="T860" s="396"/>
      <c r="U860" s="396"/>
      <c r="V860" s="396"/>
      <c r="W860" s="396"/>
      <c r="X860" s="397"/>
      <c r="Y860" s="339"/>
      <c r="Z860" s="339"/>
      <c r="AA860" s="339"/>
    </row>
    <row r="861" spans="1:27" s="303" customFormat="1" ht="14.25">
      <c r="A861" s="384"/>
      <c r="B861" s="384"/>
      <c r="C861" s="384"/>
      <c r="D861" s="384"/>
      <c r="E861" s="384"/>
      <c r="F861" s="384"/>
      <c r="G861" s="387"/>
      <c r="H861" s="549"/>
      <c r="I861" s="387"/>
      <c r="J861" s="550"/>
      <c r="K861" s="551"/>
      <c r="L861" s="551"/>
      <c r="M861" s="551"/>
      <c r="N861" s="387"/>
      <c r="O861" s="387"/>
      <c r="P861" s="551"/>
      <c r="Q861" s="394"/>
      <c r="R861" s="551"/>
      <c r="S861" s="395"/>
      <c r="T861" s="395"/>
      <c r="U861" s="395"/>
      <c r="V861" s="395"/>
      <c r="W861" s="395"/>
      <c r="X861" s="622"/>
      <c r="Y861" s="458"/>
      <c r="Z861" s="458"/>
      <c r="AA861" s="458"/>
    </row>
    <row r="862" spans="1:27" s="303" customFormat="1" ht="14.25">
      <c r="A862" s="384"/>
      <c r="B862" s="384"/>
      <c r="C862" s="384"/>
      <c r="D862" s="384"/>
      <c r="E862" s="384"/>
      <c r="F862" s="384"/>
      <c r="G862" s="388"/>
      <c r="H862" s="389"/>
      <c r="I862" s="388"/>
      <c r="J862" s="391"/>
      <c r="K862" s="392"/>
      <c r="L862" s="392"/>
      <c r="M862" s="392"/>
      <c r="N862" s="388"/>
      <c r="O862" s="388"/>
      <c r="P862" s="392"/>
      <c r="Q862" s="394"/>
      <c r="R862" s="392"/>
      <c r="S862" s="395"/>
      <c r="T862" s="396"/>
      <c r="U862" s="396"/>
      <c r="V862" s="396"/>
      <c r="W862" s="396"/>
      <c r="X862" s="397"/>
      <c r="Y862" s="339"/>
      <c r="Z862" s="339"/>
      <c r="AA862" s="339"/>
    </row>
    <row r="863" spans="1:27" s="303" customFormat="1" ht="14.25">
      <c r="A863" s="384"/>
      <c r="B863" s="384"/>
      <c r="C863" s="384"/>
      <c r="D863" s="384"/>
      <c r="E863" s="384"/>
      <c r="F863" s="384"/>
      <c r="G863" s="387"/>
      <c r="H863" s="549"/>
      <c r="I863" s="387"/>
      <c r="J863" s="550"/>
      <c r="K863" s="551"/>
      <c r="L863" s="551"/>
      <c r="M863" s="551"/>
      <c r="N863" s="387"/>
      <c r="O863" s="387"/>
      <c r="P863" s="551"/>
      <c r="Q863" s="394"/>
      <c r="R863" s="551"/>
      <c r="S863" s="395"/>
      <c r="T863" s="395"/>
      <c r="U863" s="395"/>
      <c r="V863" s="395"/>
      <c r="W863" s="395"/>
      <c r="X863" s="622"/>
      <c r="Y863" s="458"/>
      <c r="Z863" s="458"/>
      <c r="AA863" s="458"/>
    </row>
    <row r="864" spans="1:27" s="303" customFormat="1" ht="14.25">
      <c r="A864" s="384"/>
      <c r="B864" s="384"/>
      <c r="C864" s="384"/>
      <c r="D864" s="384"/>
      <c r="E864" s="384"/>
      <c r="F864" s="384"/>
      <c r="G864" s="388"/>
      <c r="H864" s="389"/>
      <c r="I864" s="388"/>
      <c r="J864" s="391"/>
      <c r="K864" s="392"/>
      <c r="L864" s="392"/>
      <c r="M864" s="392"/>
      <c r="N864" s="388"/>
      <c r="O864" s="388"/>
      <c r="P864" s="392"/>
      <c r="Q864" s="394"/>
      <c r="R864" s="392"/>
      <c r="S864" s="395"/>
      <c r="T864" s="396"/>
      <c r="U864" s="396"/>
      <c r="V864" s="396"/>
      <c r="W864" s="396"/>
      <c r="X864" s="397"/>
      <c r="Y864" s="339"/>
      <c r="Z864" s="339"/>
      <c r="AA864" s="339"/>
    </row>
    <row r="865" spans="1:27" s="303" customFormat="1" ht="14.25">
      <c r="A865" s="384"/>
      <c r="B865" s="384"/>
      <c r="C865" s="384"/>
      <c r="D865" s="384"/>
      <c r="E865" s="384"/>
      <c r="F865" s="384"/>
      <c r="G865" s="387"/>
      <c r="H865" s="549"/>
      <c r="I865" s="387"/>
      <c r="J865" s="550"/>
      <c r="K865" s="551"/>
      <c r="L865" s="551"/>
      <c r="M865" s="551"/>
      <c r="N865" s="387"/>
      <c r="O865" s="387"/>
      <c r="P865" s="551"/>
      <c r="Q865" s="394"/>
      <c r="R865" s="551"/>
      <c r="S865" s="395"/>
      <c r="T865" s="395"/>
      <c r="U865" s="395"/>
      <c r="V865" s="395"/>
      <c r="W865" s="395"/>
      <c r="X865" s="622"/>
      <c r="Y865" s="458"/>
      <c r="Z865" s="458"/>
      <c r="AA865" s="458"/>
    </row>
    <row r="866" spans="1:27" s="303" customFormat="1" ht="14.25">
      <c r="A866" s="384"/>
      <c r="B866" s="384"/>
      <c r="C866" s="384"/>
      <c r="D866" s="384"/>
      <c r="E866" s="384"/>
      <c r="F866" s="384"/>
      <c r="G866" s="388"/>
      <c r="H866" s="389"/>
      <c r="I866" s="388"/>
      <c r="J866" s="391"/>
      <c r="K866" s="392"/>
      <c r="L866" s="392"/>
      <c r="M866" s="392"/>
      <c r="N866" s="388"/>
      <c r="O866" s="388"/>
      <c r="P866" s="392"/>
      <c r="Q866" s="394"/>
      <c r="R866" s="392"/>
      <c r="S866" s="395"/>
      <c r="T866" s="396"/>
      <c r="U866" s="396"/>
      <c r="V866" s="396"/>
      <c r="W866" s="396"/>
      <c r="X866" s="397"/>
      <c r="Y866" s="339"/>
      <c r="Z866" s="339"/>
      <c r="AA866" s="339"/>
    </row>
    <row r="867" spans="1:27" s="303" customFormat="1" ht="14.25">
      <c r="A867" s="384"/>
      <c r="B867" s="384"/>
      <c r="C867" s="384"/>
      <c r="D867" s="384"/>
      <c r="E867" s="384"/>
      <c r="F867" s="384"/>
      <c r="G867" s="387"/>
      <c r="H867" s="549"/>
      <c r="I867" s="387"/>
      <c r="J867" s="550"/>
      <c r="K867" s="551"/>
      <c r="L867" s="551"/>
      <c r="M867" s="551"/>
      <c r="N867" s="387"/>
      <c r="O867" s="387"/>
      <c r="P867" s="551"/>
      <c r="Q867" s="394"/>
      <c r="R867" s="551"/>
      <c r="S867" s="395"/>
      <c r="T867" s="395"/>
      <c r="U867" s="395"/>
      <c r="V867" s="395"/>
      <c r="W867" s="395"/>
      <c r="X867" s="622"/>
      <c r="Y867" s="458"/>
      <c r="Z867" s="458"/>
      <c r="AA867" s="458"/>
    </row>
    <row r="868" spans="1:27" s="303" customFormat="1" ht="14.25">
      <c r="A868" s="384"/>
      <c r="B868" s="384"/>
      <c r="C868" s="384"/>
      <c r="D868" s="384"/>
      <c r="E868" s="384"/>
      <c r="F868" s="384"/>
      <c r="G868" s="388"/>
      <c r="H868" s="389"/>
      <c r="I868" s="388"/>
      <c r="J868" s="391"/>
      <c r="K868" s="392"/>
      <c r="L868" s="392"/>
      <c r="M868" s="392"/>
      <c r="N868" s="388"/>
      <c r="O868" s="388"/>
      <c r="P868" s="392"/>
      <c r="Q868" s="394"/>
      <c r="R868" s="392"/>
      <c r="S868" s="395"/>
      <c r="T868" s="396"/>
      <c r="U868" s="396"/>
      <c r="V868" s="396"/>
      <c r="W868" s="396"/>
      <c r="X868" s="397"/>
      <c r="Y868" s="339"/>
      <c r="Z868" s="339"/>
      <c r="AA868" s="339"/>
    </row>
    <row r="869" spans="1:27" s="303" customFormat="1" ht="14.25">
      <c r="A869" s="384"/>
      <c r="B869" s="384"/>
      <c r="C869" s="384"/>
      <c r="D869" s="384"/>
      <c r="E869" s="384"/>
      <c r="F869" s="384"/>
      <c r="G869" s="387"/>
      <c r="H869" s="549"/>
      <c r="I869" s="387"/>
      <c r="J869" s="550"/>
      <c r="K869" s="551"/>
      <c r="L869" s="551"/>
      <c r="M869" s="551"/>
      <c r="N869" s="387"/>
      <c r="O869" s="387"/>
      <c r="P869" s="551"/>
      <c r="Q869" s="394"/>
      <c r="R869" s="551"/>
      <c r="S869" s="395"/>
      <c r="T869" s="395"/>
      <c r="U869" s="395"/>
      <c r="V869" s="395"/>
      <c r="W869" s="395"/>
      <c r="X869" s="622"/>
      <c r="Y869" s="458"/>
      <c r="Z869" s="458"/>
      <c r="AA869" s="458"/>
    </row>
    <row r="870" spans="1:27" s="303" customFormat="1" ht="14.25">
      <c r="A870" s="384"/>
      <c r="B870" s="384"/>
      <c r="C870" s="384"/>
      <c r="D870" s="384"/>
      <c r="E870" s="384"/>
      <c r="F870" s="384"/>
      <c r="G870" s="388"/>
      <c r="H870" s="389"/>
      <c r="I870" s="388"/>
      <c r="J870" s="391"/>
      <c r="K870" s="392"/>
      <c r="L870" s="392"/>
      <c r="M870" s="392"/>
      <c r="N870" s="388"/>
      <c r="O870" s="388"/>
      <c r="P870" s="392"/>
      <c r="Q870" s="394"/>
      <c r="R870" s="392"/>
      <c r="S870" s="395"/>
      <c r="T870" s="396"/>
      <c r="U870" s="396"/>
      <c r="V870" s="396"/>
      <c r="W870" s="396"/>
      <c r="X870" s="397"/>
      <c r="Y870" s="339"/>
      <c r="Z870" s="339"/>
      <c r="AA870" s="339"/>
    </row>
    <row r="871" spans="1:27" s="303" customFormat="1" ht="14.25">
      <c r="A871" s="384"/>
      <c r="B871" s="384"/>
      <c r="C871" s="384"/>
      <c r="D871" s="384"/>
      <c r="E871" s="384"/>
      <c r="F871" s="384"/>
      <c r="G871" s="387"/>
      <c r="H871" s="549"/>
      <c r="I871" s="387"/>
      <c r="J871" s="550"/>
      <c r="K871" s="551"/>
      <c r="L871" s="551"/>
      <c r="M871" s="551"/>
      <c r="N871" s="387"/>
      <c r="O871" s="387"/>
      <c r="P871" s="551"/>
      <c r="Q871" s="394"/>
      <c r="R871" s="551"/>
      <c r="S871" s="395"/>
      <c r="T871" s="395"/>
      <c r="U871" s="395"/>
      <c r="V871" s="395"/>
      <c r="W871" s="395"/>
      <c r="X871" s="622"/>
      <c r="Y871" s="458"/>
      <c r="Z871" s="458"/>
      <c r="AA871" s="458"/>
    </row>
    <row r="872" spans="1:27" s="303" customFormat="1" ht="14.25">
      <c r="A872" s="384"/>
      <c r="B872" s="384"/>
      <c r="C872" s="384"/>
      <c r="D872" s="384"/>
      <c r="E872" s="384"/>
      <c r="F872" s="384"/>
      <c r="G872" s="388"/>
      <c r="H872" s="389"/>
      <c r="I872" s="388"/>
      <c r="J872" s="391"/>
      <c r="K872" s="392"/>
      <c r="L872" s="392"/>
      <c r="M872" s="392"/>
      <c r="N872" s="388"/>
      <c r="O872" s="388"/>
      <c r="P872" s="392"/>
      <c r="Q872" s="394"/>
      <c r="R872" s="392"/>
      <c r="S872" s="395"/>
      <c r="T872" s="396"/>
      <c r="U872" s="396"/>
      <c r="V872" s="396"/>
      <c r="W872" s="396"/>
      <c r="X872" s="397"/>
      <c r="Y872" s="339"/>
      <c r="Z872" s="339"/>
      <c r="AA872" s="339"/>
    </row>
    <row r="873" spans="1:27" s="303" customFormat="1" ht="14.25">
      <c r="A873" s="384"/>
      <c r="B873" s="384"/>
      <c r="C873" s="384"/>
      <c r="D873" s="384"/>
      <c r="E873" s="384"/>
      <c r="F873" s="384"/>
      <c r="G873" s="387"/>
      <c r="H873" s="549"/>
      <c r="I873" s="387"/>
      <c r="J873" s="550"/>
      <c r="K873" s="551"/>
      <c r="L873" s="551"/>
      <c r="M873" s="551"/>
      <c r="N873" s="387"/>
      <c r="O873" s="387"/>
      <c r="P873" s="551"/>
      <c r="Q873" s="394"/>
      <c r="R873" s="551"/>
      <c r="S873" s="395"/>
      <c r="T873" s="395"/>
      <c r="U873" s="395"/>
      <c r="V873" s="395"/>
      <c r="W873" s="395"/>
      <c r="X873" s="622"/>
      <c r="Y873" s="458"/>
      <c r="Z873" s="458"/>
      <c r="AA873" s="458"/>
    </row>
    <row r="874" spans="1:27" s="303" customFormat="1" ht="14.25">
      <c r="A874" s="384"/>
      <c r="B874" s="384"/>
      <c r="C874" s="384"/>
      <c r="D874" s="384"/>
      <c r="E874" s="384"/>
      <c r="F874" s="384"/>
      <c r="G874" s="388"/>
      <c r="H874" s="389"/>
      <c r="I874" s="388"/>
      <c r="J874" s="391"/>
      <c r="K874" s="392"/>
      <c r="L874" s="392"/>
      <c r="M874" s="392"/>
      <c r="N874" s="388"/>
      <c r="O874" s="388"/>
      <c r="P874" s="392"/>
      <c r="Q874" s="394"/>
      <c r="R874" s="392"/>
      <c r="S874" s="395"/>
      <c r="T874" s="396"/>
      <c r="U874" s="396"/>
      <c r="V874" s="396"/>
      <c r="W874" s="396"/>
      <c r="X874" s="397"/>
      <c r="Y874" s="339"/>
      <c r="Z874" s="339"/>
      <c r="AA874" s="339"/>
    </row>
    <row r="875" spans="1:27" s="303" customFormat="1" ht="14.25">
      <c r="A875" s="384"/>
      <c r="B875" s="384"/>
      <c r="C875" s="384"/>
      <c r="D875" s="384"/>
      <c r="E875" s="384"/>
      <c r="F875" s="384"/>
      <c r="G875" s="387"/>
      <c r="H875" s="549"/>
      <c r="I875" s="387"/>
      <c r="J875" s="550"/>
      <c r="K875" s="551"/>
      <c r="L875" s="551"/>
      <c r="M875" s="551"/>
      <c r="N875" s="387"/>
      <c r="O875" s="387"/>
      <c r="P875" s="551"/>
      <c r="Q875" s="394"/>
      <c r="R875" s="551"/>
      <c r="S875" s="395"/>
      <c r="T875" s="395"/>
      <c r="U875" s="395"/>
      <c r="V875" s="395"/>
      <c r="W875" s="395"/>
      <c r="X875" s="622"/>
      <c r="Y875" s="458"/>
      <c r="Z875" s="458"/>
      <c r="AA875" s="458"/>
    </row>
    <row r="876" spans="1:27" s="303" customFormat="1" ht="14.25">
      <c r="A876" s="384"/>
      <c r="B876" s="384"/>
      <c r="C876" s="384"/>
      <c r="D876" s="384"/>
      <c r="E876" s="384"/>
      <c r="F876" s="384"/>
      <c r="G876" s="388"/>
      <c r="H876" s="389"/>
      <c r="I876" s="388"/>
      <c r="J876" s="391"/>
      <c r="K876" s="392"/>
      <c r="L876" s="392"/>
      <c r="M876" s="392"/>
      <c r="N876" s="388"/>
      <c r="O876" s="388"/>
      <c r="P876" s="392"/>
      <c r="Q876" s="394"/>
      <c r="R876" s="392"/>
      <c r="S876" s="395"/>
      <c r="T876" s="396"/>
      <c r="U876" s="396"/>
      <c r="V876" s="396"/>
      <c r="W876" s="396"/>
      <c r="X876" s="397"/>
      <c r="Y876" s="339"/>
      <c r="Z876" s="339"/>
      <c r="AA876" s="339"/>
    </row>
    <row r="877" spans="1:27" s="303" customFormat="1" ht="14.25">
      <c r="A877" s="384"/>
      <c r="B877" s="384"/>
      <c r="C877" s="384"/>
      <c r="D877" s="384"/>
      <c r="E877" s="384"/>
      <c r="F877" s="384"/>
      <c r="G877" s="387"/>
      <c r="H877" s="549"/>
      <c r="I877" s="387"/>
      <c r="J877" s="550"/>
      <c r="K877" s="551"/>
      <c r="L877" s="551"/>
      <c r="M877" s="551"/>
      <c r="N877" s="387"/>
      <c r="O877" s="387"/>
      <c r="P877" s="551"/>
      <c r="Q877" s="394"/>
      <c r="R877" s="551"/>
      <c r="S877" s="395"/>
      <c r="T877" s="395"/>
      <c r="U877" s="395"/>
      <c r="V877" s="395"/>
      <c r="W877" s="395"/>
      <c r="X877" s="622"/>
      <c r="Y877" s="458"/>
      <c r="Z877" s="458"/>
      <c r="AA877" s="458"/>
    </row>
    <row r="878" spans="1:27" s="303" customFormat="1" ht="14.25">
      <c r="A878" s="384"/>
      <c r="B878" s="384"/>
      <c r="C878" s="384"/>
      <c r="D878" s="384"/>
      <c r="E878" s="384"/>
      <c r="F878" s="384"/>
      <c r="G878" s="388"/>
      <c r="H878" s="389"/>
      <c r="I878" s="388"/>
      <c r="J878" s="391"/>
      <c r="K878" s="392"/>
      <c r="L878" s="392"/>
      <c r="M878" s="392"/>
      <c r="N878" s="388"/>
      <c r="O878" s="388"/>
      <c r="P878" s="392"/>
      <c r="Q878" s="394"/>
      <c r="R878" s="392"/>
      <c r="S878" s="395"/>
      <c r="T878" s="396"/>
      <c r="U878" s="396"/>
      <c r="V878" s="396"/>
      <c r="W878" s="396"/>
      <c r="X878" s="397"/>
      <c r="Y878" s="339"/>
      <c r="Z878" s="339"/>
      <c r="AA878" s="339"/>
    </row>
    <row r="879" spans="1:27" s="303" customFormat="1" ht="14.25">
      <c r="A879" s="384"/>
      <c r="B879" s="384"/>
      <c r="C879" s="384"/>
      <c r="D879" s="384"/>
      <c r="E879" s="384"/>
      <c r="F879" s="384"/>
      <c r="G879" s="387"/>
      <c r="H879" s="549"/>
      <c r="I879" s="387"/>
      <c r="J879" s="550"/>
      <c r="K879" s="551"/>
      <c r="L879" s="551"/>
      <c r="M879" s="551"/>
      <c r="N879" s="387"/>
      <c r="O879" s="387"/>
      <c r="P879" s="551"/>
      <c r="Q879" s="394"/>
      <c r="R879" s="551"/>
      <c r="S879" s="395"/>
      <c r="T879" s="395"/>
      <c r="U879" s="395"/>
      <c r="V879" s="395"/>
      <c r="W879" s="395"/>
      <c r="X879" s="622"/>
      <c r="Y879" s="458"/>
      <c r="Z879" s="458"/>
      <c r="AA879" s="458"/>
    </row>
    <row r="880" spans="1:27" s="303" customFormat="1" ht="14.25">
      <c r="A880" s="384"/>
      <c r="B880" s="384"/>
      <c r="C880" s="384"/>
      <c r="D880" s="384"/>
      <c r="E880" s="384"/>
      <c r="F880" s="384"/>
      <c r="G880" s="388"/>
      <c r="H880" s="389"/>
      <c r="I880" s="388"/>
      <c r="J880" s="391"/>
      <c r="K880" s="392"/>
      <c r="L880" s="392"/>
      <c r="M880" s="392"/>
      <c r="N880" s="388"/>
      <c r="O880" s="388"/>
      <c r="P880" s="392"/>
      <c r="Q880" s="394"/>
      <c r="R880" s="392"/>
      <c r="S880" s="395"/>
      <c r="T880" s="396"/>
      <c r="U880" s="396"/>
      <c r="V880" s="396"/>
      <c r="W880" s="396"/>
      <c r="X880" s="397"/>
      <c r="Y880" s="339"/>
      <c r="Z880" s="339"/>
      <c r="AA880" s="339"/>
    </row>
    <row r="881" spans="1:27" s="303" customFormat="1" ht="14.25">
      <c r="A881" s="384"/>
      <c r="B881" s="384"/>
      <c r="C881" s="384"/>
      <c r="D881" s="384"/>
      <c r="E881" s="384"/>
      <c r="F881" s="384"/>
      <c r="G881" s="387"/>
      <c r="H881" s="549"/>
      <c r="I881" s="387"/>
      <c r="J881" s="550"/>
      <c r="K881" s="551"/>
      <c r="L881" s="551"/>
      <c r="M881" s="551"/>
      <c r="N881" s="387"/>
      <c r="O881" s="387"/>
      <c r="P881" s="551"/>
      <c r="Q881" s="394"/>
      <c r="R881" s="551"/>
      <c r="S881" s="395"/>
      <c r="T881" s="395"/>
      <c r="U881" s="395"/>
      <c r="V881" s="395"/>
      <c r="W881" s="395"/>
      <c r="X881" s="622"/>
      <c r="Y881" s="458"/>
      <c r="Z881" s="458"/>
      <c r="AA881" s="458"/>
    </row>
    <row r="882" spans="1:27" s="303" customFormat="1" ht="14.25">
      <c r="A882" s="384"/>
      <c r="B882" s="384"/>
      <c r="C882" s="384"/>
      <c r="D882" s="384"/>
      <c r="E882" s="384"/>
      <c r="F882" s="384"/>
      <c r="G882" s="388"/>
      <c r="H882" s="389"/>
      <c r="I882" s="388"/>
      <c r="J882" s="391"/>
      <c r="K882" s="392"/>
      <c r="L882" s="392"/>
      <c r="M882" s="392"/>
      <c r="N882" s="388"/>
      <c r="O882" s="388"/>
      <c r="P882" s="392"/>
      <c r="Q882" s="394"/>
      <c r="R882" s="392"/>
      <c r="S882" s="395"/>
      <c r="T882" s="396"/>
      <c r="U882" s="396"/>
      <c r="V882" s="396"/>
      <c r="W882" s="396"/>
      <c r="X882" s="397"/>
      <c r="Y882" s="339"/>
      <c r="Z882" s="339"/>
      <c r="AA882" s="339"/>
    </row>
    <row r="883" spans="1:27" s="303" customFormat="1" ht="14.25">
      <c r="A883" s="384"/>
      <c r="B883" s="384"/>
      <c r="C883" s="384"/>
      <c r="D883" s="384"/>
      <c r="E883" s="384"/>
      <c r="F883" s="384"/>
      <c r="G883" s="387"/>
      <c r="H883" s="549"/>
      <c r="I883" s="387"/>
      <c r="J883" s="550"/>
      <c r="K883" s="551"/>
      <c r="L883" s="551"/>
      <c r="M883" s="551"/>
      <c r="N883" s="387"/>
      <c r="O883" s="387"/>
      <c r="P883" s="551"/>
      <c r="Q883" s="394"/>
      <c r="R883" s="551"/>
      <c r="S883" s="395"/>
      <c r="T883" s="395"/>
      <c r="U883" s="395"/>
      <c r="V883" s="395"/>
      <c r="W883" s="395"/>
      <c r="X883" s="622"/>
      <c r="Y883" s="458"/>
      <c r="Z883" s="458"/>
      <c r="AA883" s="458"/>
    </row>
    <row r="884" spans="1:27" s="303" customFormat="1" ht="14.25">
      <c r="A884" s="384"/>
      <c r="B884" s="384"/>
      <c r="C884" s="384"/>
      <c r="D884" s="384"/>
      <c r="E884" s="384"/>
      <c r="F884" s="384"/>
      <c r="G884" s="388"/>
      <c r="H884" s="389"/>
      <c r="I884" s="388"/>
      <c r="J884" s="391"/>
      <c r="K884" s="392"/>
      <c r="L884" s="392"/>
      <c r="M884" s="392"/>
      <c r="N884" s="388"/>
      <c r="O884" s="388"/>
      <c r="P884" s="392"/>
      <c r="Q884" s="394"/>
      <c r="R884" s="392"/>
      <c r="S884" s="395"/>
      <c r="T884" s="396"/>
      <c r="U884" s="396"/>
      <c r="V884" s="396"/>
      <c r="W884" s="396"/>
      <c r="X884" s="397"/>
      <c r="Y884" s="339"/>
      <c r="Z884" s="339"/>
      <c r="AA884" s="339"/>
    </row>
    <row r="885" spans="1:27" s="303" customFormat="1" ht="14.25">
      <c r="A885" s="384"/>
      <c r="B885" s="384"/>
      <c r="C885" s="384"/>
      <c r="D885" s="384"/>
      <c r="E885" s="384"/>
      <c r="F885" s="384"/>
      <c r="G885" s="387"/>
      <c r="H885" s="549"/>
      <c r="I885" s="387"/>
      <c r="J885" s="550"/>
      <c r="K885" s="551"/>
      <c r="L885" s="551"/>
      <c r="M885" s="551"/>
      <c r="N885" s="387"/>
      <c r="O885" s="387"/>
      <c r="P885" s="551"/>
      <c r="Q885" s="394"/>
      <c r="R885" s="551"/>
      <c r="S885" s="395"/>
      <c r="T885" s="395"/>
      <c r="U885" s="395"/>
      <c r="V885" s="395"/>
      <c r="W885" s="395"/>
      <c r="X885" s="622"/>
      <c r="Y885" s="458"/>
      <c r="Z885" s="458"/>
      <c r="AA885" s="458"/>
    </row>
    <row r="886" spans="1:27" s="303" customFormat="1" ht="14.25">
      <c r="A886" s="384"/>
      <c r="B886" s="384"/>
      <c r="C886" s="384"/>
      <c r="D886" s="384"/>
      <c r="E886" s="384"/>
      <c r="F886" s="384"/>
      <c r="G886" s="388"/>
      <c r="H886" s="389"/>
      <c r="I886" s="388"/>
      <c r="J886" s="391"/>
      <c r="K886" s="392"/>
      <c r="L886" s="392"/>
      <c r="M886" s="392"/>
      <c r="N886" s="388"/>
      <c r="O886" s="388"/>
      <c r="P886" s="392"/>
      <c r="Q886" s="394"/>
      <c r="R886" s="392"/>
      <c r="S886" s="395"/>
      <c r="T886" s="396"/>
      <c r="U886" s="396"/>
      <c r="V886" s="396"/>
      <c r="W886" s="396"/>
      <c r="X886" s="397"/>
      <c r="Y886" s="339"/>
      <c r="Z886" s="339"/>
      <c r="AA886" s="339"/>
    </row>
    <row r="887" spans="1:27" s="303" customFormat="1" ht="14.25">
      <c r="A887" s="384"/>
      <c r="B887" s="384"/>
      <c r="C887" s="384"/>
      <c r="D887" s="384"/>
      <c r="E887" s="384"/>
      <c r="F887" s="384"/>
      <c r="G887" s="387"/>
      <c r="H887" s="549"/>
      <c r="I887" s="387"/>
      <c r="J887" s="550"/>
      <c r="K887" s="551"/>
      <c r="L887" s="551"/>
      <c r="M887" s="551"/>
      <c r="N887" s="387"/>
      <c r="O887" s="387"/>
      <c r="P887" s="551"/>
      <c r="Q887" s="394"/>
      <c r="R887" s="551"/>
      <c r="S887" s="395"/>
      <c r="T887" s="395"/>
      <c r="U887" s="395"/>
      <c r="V887" s="395"/>
      <c r="W887" s="395"/>
      <c r="X887" s="622"/>
      <c r="Y887" s="458"/>
      <c r="Z887" s="458"/>
      <c r="AA887" s="458"/>
    </row>
    <row r="888" spans="1:27" s="303" customFormat="1" ht="14.25">
      <c r="A888" s="384"/>
      <c r="B888" s="384"/>
      <c r="C888" s="384"/>
      <c r="D888" s="384"/>
      <c r="E888" s="384"/>
      <c r="F888" s="384"/>
      <c r="G888" s="388"/>
      <c r="H888" s="389"/>
      <c r="I888" s="388"/>
      <c r="J888" s="391"/>
      <c r="K888" s="392"/>
      <c r="L888" s="392"/>
      <c r="M888" s="392"/>
      <c r="N888" s="388"/>
      <c r="O888" s="388"/>
      <c r="P888" s="392"/>
      <c r="Q888" s="394"/>
      <c r="R888" s="392"/>
      <c r="S888" s="395"/>
      <c r="T888" s="396"/>
      <c r="U888" s="396"/>
      <c r="V888" s="396"/>
      <c r="W888" s="396"/>
      <c r="X888" s="397"/>
      <c r="Y888" s="339"/>
      <c r="Z888" s="339"/>
      <c r="AA888" s="339"/>
    </row>
    <row r="889" spans="1:27" s="303" customFormat="1" ht="14.25">
      <c r="A889" s="384"/>
      <c r="B889" s="384"/>
      <c r="C889" s="384"/>
      <c r="D889" s="384"/>
      <c r="E889" s="384"/>
      <c r="F889" s="384"/>
      <c r="G889" s="387"/>
      <c r="H889" s="549"/>
      <c r="I889" s="387"/>
      <c r="J889" s="550"/>
      <c r="K889" s="551"/>
      <c r="L889" s="551"/>
      <c r="M889" s="551"/>
      <c r="N889" s="387"/>
      <c r="O889" s="387"/>
      <c r="P889" s="551"/>
      <c r="Q889" s="394"/>
      <c r="R889" s="551"/>
      <c r="S889" s="395"/>
      <c r="T889" s="395"/>
      <c r="U889" s="395"/>
      <c r="V889" s="395"/>
      <c r="W889" s="395"/>
      <c r="X889" s="622"/>
      <c r="Y889" s="458"/>
      <c r="Z889" s="458"/>
      <c r="AA889" s="458"/>
    </row>
    <row r="890" spans="1:27" s="303" customFormat="1" ht="14.25">
      <c r="A890" s="384"/>
      <c r="B890" s="384"/>
      <c r="C890" s="384"/>
      <c r="D890" s="384"/>
      <c r="E890" s="384"/>
      <c r="F890" s="384"/>
      <c r="G890" s="388"/>
      <c r="H890" s="389"/>
      <c r="I890" s="388"/>
      <c r="J890" s="391"/>
      <c r="K890" s="392"/>
      <c r="L890" s="392"/>
      <c r="M890" s="392"/>
      <c r="N890" s="388"/>
      <c r="O890" s="388"/>
      <c r="P890" s="392"/>
      <c r="Q890" s="394"/>
      <c r="R890" s="392"/>
      <c r="S890" s="395"/>
      <c r="T890" s="396"/>
      <c r="U890" s="396"/>
      <c r="V890" s="396"/>
      <c r="W890" s="396"/>
      <c r="X890" s="397"/>
      <c r="Y890" s="339"/>
      <c r="Z890" s="339"/>
      <c r="AA890" s="339"/>
    </row>
    <row r="891" spans="1:27" s="303" customFormat="1" ht="14.25">
      <c r="A891" s="384"/>
      <c r="B891" s="384"/>
      <c r="C891" s="384"/>
      <c r="D891" s="384"/>
      <c r="E891" s="384"/>
      <c r="F891" s="384"/>
      <c r="G891" s="387"/>
      <c r="H891" s="549"/>
      <c r="I891" s="387"/>
      <c r="J891" s="550"/>
      <c r="K891" s="551"/>
      <c r="L891" s="551"/>
      <c r="M891" s="551"/>
      <c r="N891" s="387"/>
      <c r="O891" s="387"/>
      <c r="P891" s="551"/>
      <c r="Q891" s="394"/>
      <c r="R891" s="551"/>
      <c r="S891" s="395"/>
      <c r="T891" s="395"/>
      <c r="U891" s="395"/>
      <c r="V891" s="395"/>
      <c r="W891" s="395"/>
      <c r="X891" s="622"/>
      <c r="Y891" s="458"/>
      <c r="Z891" s="458"/>
      <c r="AA891" s="458"/>
    </row>
    <row r="892" spans="1:27" s="303" customFormat="1" ht="14.25">
      <c r="A892" s="384"/>
      <c r="B892" s="384"/>
      <c r="C892" s="384"/>
      <c r="D892" s="384"/>
      <c r="E892" s="384"/>
      <c r="F892" s="384"/>
      <c r="G892" s="388"/>
      <c r="H892" s="389"/>
      <c r="I892" s="388"/>
      <c r="J892" s="391"/>
      <c r="K892" s="392"/>
      <c r="L892" s="392"/>
      <c r="M892" s="392"/>
      <c r="N892" s="388"/>
      <c r="O892" s="388"/>
      <c r="P892" s="392"/>
      <c r="Q892" s="394"/>
      <c r="R892" s="392"/>
      <c r="S892" s="395"/>
      <c r="T892" s="396"/>
      <c r="U892" s="396"/>
      <c r="V892" s="396"/>
      <c r="W892" s="396"/>
      <c r="X892" s="397"/>
      <c r="Y892" s="339"/>
      <c r="Z892" s="339"/>
      <c r="AA892" s="339"/>
    </row>
    <row r="893" spans="1:27" s="303" customFormat="1" ht="14.25">
      <c r="A893" s="384"/>
      <c r="B893" s="384"/>
      <c r="C893" s="384"/>
      <c r="D893" s="384"/>
      <c r="E893" s="384"/>
      <c r="F893" s="384"/>
      <c r="G893" s="387"/>
      <c r="H893" s="549"/>
      <c r="I893" s="387"/>
      <c r="J893" s="550"/>
      <c r="K893" s="551"/>
      <c r="L893" s="551"/>
      <c r="M893" s="551"/>
      <c r="N893" s="387"/>
      <c r="O893" s="387"/>
      <c r="P893" s="551"/>
      <c r="Q893" s="394"/>
      <c r="R893" s="551"/>
      <c r="S893" s="395"/>
      <c r="T893" s="395"/>
      <c r="U893" s="395"/>
      <c r="V893" s="395"/>
      <c r="W893" s="395"/>
      <c r="X893" s="622"/>
      <c r="Y893" s="458"/>
      <c r="Z893" s="458"/>
      <c r="AA893" s="458"/>
    </row>
    <row r="894" spans="1:27" s="303" customFormat="1" ht="14.25">
      <c r="A894" s="384"/>
      <c r="B894" s="384"/>
      <c r="C894" s="384"/>
      <c r="D894" s="384"/>
      <c r="E894" s="384"/>
      <c r="F894" s="384"/>
      <c r="G894" s="388"/>
      <c r="H894" s="389"/>
      <c r="I894" s="388"/>
      <c r="J894" s="391"/>
      <c r="K894" s="392"/>
      <c r="L894" s="392"/>
      <c r="M894" s="392"/>
      <c r="N894" s="388"/>
      <c r="O894" s="388"/>
      <c r="P894" s="392"/>
      <c r="Q894" s="394"/>
      <c r="R894" s="392"/>
      <c r="S894" s="395"/>
      <c r="T894" s="396"/>
      <c r="U894" s="396"/>
      <c r="V894" s="396"/>
      <c r="W894" s="396"/>
      <c r="X894" s="397"/>
      <c r="Y894" s="339"/>
      <c r="Z894" s="339"/>
      <c r="AA894" s="339"/>
    </row>
    <row r="895" spans="1:27" s="303" customFormat="1" ht="14.25">
      <c r="A895" s="384"/>
      <c r="B895" s="384"/>
      <c r="C895" s="384"/>
      <c r="D895" s="384"/>
      <c r="E895" s="384"/>
      <c r="F895" s="384"/>
      <c r="G895" s="387"/>
      <c r="H895" s="549"/>
      <c r="I895" s="387"/>
      <c r="J895" s="550"/>
      <c r="K895" s="551"/>
      <c r="L895" s="551"/>
      <c r="M895" s="551"/>
      <c r="N895" s="387"/>
      <c r="O895" s="387"/>
      <c r="P895" s="551"/>
      <c r="Q895" s="394"/>
      <c r="R895" s="551"/>
      <c r="S895" s="395"/>
      <c r="T895" s="395"/>
      <c r="U895" s="395"/>
      <c r="V895" s="395"/>
      <c r="W895" s="395"/>
      <c r="X895" s="622"/>
      <c r="Y895" s="458"/>
      <c r="Z895" s="458"/>
      <c r="AA895" s="458"/>
    </row>
    <row r="896" spans="1:27" s="303" customFormat="1" ht="14.25">
      <c r="A896" s="384"/>
      <c r="B896" s="384"/>
      <c r="C896" s="384"/>
      <c r="D896" s="384"/>
      <c r="E896" s="384"/>
      <c r="F896" s="384"/>
      <c r="G896" s="388"/>
      <c r="H896" s="389"/>
      <c r="I896" s="388"/>
      <c r="J896" s="391"/>
      <c r="K896" s="392"/>
      <c r="L896" s="392"/>
      <c r="M896" s="392"/>
      <c r="N896" s="388"/>
      <c r="O896" s="388"/>
      <c r="P896" s="392"/>
      <c r="Q896" s="394"/>
      <c r="R896" s="392"/>
      <c r="S896" s="395"/>
      <c r="T896" s="396"/>
      <c r="U896" s="396"/>
      <c r="V896" s="396"/>
      <c r="W896" s="396"/>
      <c r="X896" s="397"/>
      <c r="Y896" s="339"/>
      <c r="Z896" s="339"/>
      <c r="AA896" s="339"/>
    </row>
    <row r="897" spans="1:27" s="303" customFormat="1" ht="14.25">
      <c r="A897" s="384"/>
      <c r="B897" s="384"/>
      <c r="C897" s="384"/>
      <c r="D897" s="384"/>
      <c r="E897" s="384"/>
      <c r="F897" s="384"/>
      <c r="G897" s="387"/>
      <c r="H897" s="549"/>
      <c r="I897" s="387"/>
      <c r="J897" s="550"/>
      <c r="K897" s="551"/>
      <c r="L897" s="551"/>
      <c r="M897" s="551"/>
      <c r="N897" s="387"/>
      <c r="O897" s="387"/>
      <c r="P897" s="551"/>
      <c r="Q897" s="394"/>
      <c r="R897" s="551"/>
      <c r="S897" s="395"/>
      <c r="T897" s="395"/>
      <c r="U897" s="395"/>
      <c r="V897" s="395"/>
      <c r="W897" s="395"/>
      <c r="X897" s="622"/>
      <c r="Y897" s="458"/>
      <c r="Z897" s="458"/>
      <c r="AA897" s="458"/>
    </row>
    <row r="898" spans="1:27" s="303" customFormat="1" ht="14.25">
      <c r="A898" s="384"/>
      <c r="B898" s="384"/>
      <c r="C898" s="384"/>
      <c r="D898" s="384"/>
      <c r="E898" s="384"/>
      <c r="F898" s="384"/>
      <c r="G898" s="388"/>
      <c r="H898" s="389"/>
      <c r="I898" s="388"/>
      <c r="J898" s="391"/>
      <c r="K898" s="392"/>
      <c r="L898" s="392"/>
      <c r="M898" s="392"/>
      <c r="N898" s="388"/>
      <c r="O898" s="388"/>
      <c r="P898" s="392"/>
      <c r="Q898" s="394"/>
      <c r="R898" s="392"/>
      <c r="S898" s="395"/>
      <c r="T898" s="396"/>
      <c r="U898" s="396"/>
      <c r="V898" s="396"/>
      <c r="W898" s="396"/>
      <c r="X898" s="397"/>
      <c r="Y898" s="339"/>
      <c r="Z898" s="339"/>
      <c r="AA898" s="339"/>
    </row>
    <row r="899" spans="1:27" s="303" customFormat="1" ht="14.25">
      <c r="A899" s="384"/>
      <c r="B899" s="384"/>
      <c r="C899" s="384"/>
      <c r="D899" s="384"/>
      <c r="E899" s="384"/>
      <c r="F899" s="384"/>
      <c r="G899" s="387"/>
      <c r="H899" s="549"/>
      <c r="I899" s="387"/>
      <c r="J899" s="550"/>
      <c r="K899" s="551"/>
      <c r="L899" s="551"/>
      <c r="M899" s="551"/>
      <c r="N899" s="387"/>
      <c r="O899" s="387"/>
      <c r="P899" s="551"/>
      <c r="Q899" s="394"/>
      <c r="R899" s="551"/>
      <c r="S899" s="395"/>
      <c r="T899" s="395"/>
      <c r="U899" s="395"/>
      <c r="V899" s="395"/>
      <c r="W899" s="395"/>
      <c r="X899" s="622"/>
      <c r="Y899" s="458"/>
      <c r="Z899" s="458"/>
      <c r="AA899" s="458"/>
    </row>
    <row r="900" spans="1:27" s="303" customFormat="1" ht="14.25">
      <c r="A900" s="384"/>
      <c r="B900" s="384"/>
      <c r="C900" s="384"/>
      <c r="D900" s="384"/>
      <c r="E900" s="384"/>
      <c r="F900" s="384"/>
      <c r="G900" s="388"/>
      <c r="H900" s="389"/>
      <c r="I900" s="388"/>
      <c r="J900" s="391"/>
      <c r="K900" s="392"/>
      <c r="L900" s="392"/>
      <c r="M900" s="392"/>
      <c r="N900" s="388"/>
      <c r="O900" s="388"/>
      <c r="P900" s="392"/>
      <c r="Q900" s="394"/>
      <c r="R900" s="392"/>
      <c r="S900" s="395"/>
      <c r="T900" s="396"/>
      <c r="U900" s="396"/>
      <c r="V900" s="396"/>
      <c r="W900" s="396"/>
      <c r="X900" s="397"/>
      <c r="Y900" s="339"/>
      <c r="Z900" s="339"/>
      <c r="AA900" s="339"/>
    </row>
    <row r="901" spans="1:27" s="303" customFormat="1" ht="14.25">
      <c r="A901" s="384"/>
      <c r="B901" s="384"/>
      <c r="C901" s="384"/>
      <c r="D901" s="384"/>
      <c r="E901" s="384"/>
      <c r="F901" s="384"/>
      <c r="G901" s="387"/>
      <c r="H901" s="549"/>
      <c r="I901" s="387"/>
      <c r="J901" s="550"/>
      <c r="K901" s="551"/>
      <c r="L901" s="551"/>
      <c r="M901" s="551"/>
      <c r="N901" s="387"/>
      <c r="O901" s="387"/>
      <c r="P901" s="551"/>
      <c r="Q901" s="394"/>
      <c r="R901" s="551"/>
      <c r="S901" s="395"/>
      <c r="T901" s="395"/>
      <c r="U901" s="395"/>
      <c r="V901" s="395"/>
      <c r="W901" s="395"/>
      <c r="X901" s="622"/>
      <c r="Y901" s="458"/>
      <c r="Z901" s="458"/>
      <c r="AA901" s="458"/>
    </row>
    <row r="902" spans="1:27" s="303" customFormat="1" ht="14.25">
      <c r="A902" s="384"/>
      <c r="B902" s="384"/>
      <c r="C902" s="384"/>
      <c r="D902" s="384"/>
      <c r="E902" s="384"/>
      <c r="F902" s="384"/>
      <c r="G902" s="388"/>
      <c r="H902" s="389"/>
      <c r="I902" s="388"/>
      <c r="J902" s="391"/>
      <c r="K902" s="392"/>
      <c r="L902" s="392"/>
      <c r="M902" s="392"/>
      <c r="N902" s="388"/>
      <c r="O902" s="388"/>
      <c r="P902" s="392"/>
      <c r="Q902" s="394"/>
      <c r="R902" s="392"/>
      <c r="S902" s="395"/>
      <c r="T902" s="396"/>
      <c r="U902" s="396"/>
      <c r="V902" s="396"/>
      <c r="W902" s="396"/>
      <c r="X902" s="397"/>
      <c r="Y902" s="339"/>
      <c r="Z902" s="339"/>
      <c r="AA902" s="339"/>
    </row>
    <row r="903" spans="1:27" s="303" customFormat="1" ht="14.25">
      <c r="A903" s="384"/>
      <c r="B903" s="384"/>
      <c r="C903" s="384"/>
      <c r="D903" s="384"/>
      <c r="E903" s="384"/>
      <c r="F903" s="384"/>
      <c r="G903" s="387"/>
      <c r="H903" s="549"/>
      <c r="I903" s="387"/>
      <c r="J903" s="550"/>
      <c r="K903" s="551"/>
      <c r="L903" s="551"/>
      <c r="M903" s="551"/>
      <c r="N903" s="387"/>
      <c r="O903" s="387"/>
      <c r="P903" s="551"/>
      <c r="Q903" s="394"/>
      <c r="R903" s="551"/>
      <c r="S903" s="395"/>
      <c r="T903" s="395"/>
      <c r="U903" s="395"/>
      <c r="V903" s="395"/>
      <c r="W903" s="395"/>
      <c r="X903" s="622"/>
      <c r="Y903" s="458"/>
      <c r="Z903" s="458"/>
      <c r="AA903" s="458"/>
    </row>
    <row r="904" spans="1:27" s="303" customFormat="1" ht="14.25">
      <c r="A904" s="384"/>
      <c r="B904" s="384"/>
      <c r="C904" s="384"/>
      <c r="D904" s="384"/>
      <c r="E904" s="384"/>
      <c r="F904" s="384"/>
      <c r="G904" s="388"/>
      <c r="H904" s="389"/>
      <c r="I904" s="388"/>
      <c r="J904" s="391"/>
      <c r="K904" s="392"/>
      <c r="L904" s="392"/>
      <c r="M904" s="392"/>
      <c r="N904" s="388"/>
      <c r="O904" s="388"/>
      <c r="P904" s="392"/>
      <c r="Q904" s="394"/>
      <c r="R904" s="392"/>
      <c r="S904" s="395"/>
      <c r="T904" s="396"/>
      <c r="U904" s="396"/>
      <c r="V904" s="396"/>
      <c r="W904" s="396"/>
      <c r="X904" s="397"/>
      <c r="Y904" s="339"/>
      <c r="Z904" s="339"/>
      <c r="AA904" s="339"/>
    </row>
    <row r="905" spans="1:27" s="303" customFormat="1" ht="14.25">
      <c r="A905" s="384"/>
      <c r="B905" s="384"/>
      <c r="C905" s="384"/>
      <c r="D905" s="384"/>
      <c r="E905" s="384"/>
      <c r="F905" s="384"/>
      <c r="G905" s="387"/>
      <c r="H905" s="549"/>
      <c r="I905" s="387"/>
      <c r="J905" s="550"/>
      <c r="K905" s="551"/>
      <c r="L905" s="551"/>
      <c r="M905" s="551"/>
      <c r="N905" s="387"/>
      <c r="O905" s="387"/>
      <c r="P905" s="551"/>
      <c r="Q905" s="394"/>
      <c r="R905" s="551"/>
      <c r="S905" s="395"/>
      <c r="T905" s="395"/>
      <c r="U905" s="395"/>
      <c r="V905" s="395"/>
      <c r="W905" s="395"/>
      <c r="X905" s="622"/>
      <c r="Y905" s="458"/>
      <c r="Z905" s="458"/>
      <c r="AA905" s="458"/>
    </row>
    <row r="906" spans="1:27" s="303" customFormat="1" ht="14.25">
      <c r="A906" s="384"/>
      <c r="B906" s="384"/>
      <c r="C906" s="384"/>
      <c r="D906" s="384"/>
      <c r="E906" s="384"/>
      <c r="F906" s="384"/>
      <c r="G906" s="388"/>
      <c r="H906" s="389"/>
      <c r="I906" s="388"/>
      <c r="J906" s="391"/>
      <c r="K906" s="392"/>
      <c r="L906" s="392"/>
      <c r="M906" s="392"/>
      <c r="N906" s="388"/>
      <c r="O906" s="388"/>
      <c r="P906" s="392"/>
      <c r="Q906" s="394"/>
      <c r="R906" s="392"/>
      <c r="S906" s="395"/>
      <c r="T906" s="396"/>
      <c r="U906" s="396"/>
      <c r="V906" s="396"/>
      <c r="W906" s="396"/>
      <c r="X906" s="397"/>
      <c r="Y906" s="339"/>
      <c r="Z906" s="339"/>
      <c r="AA906" s="339"/>
    </row>
    <row r="907" spans="1:27" s="303" customFormat="1" ht="14.25">
      <c r="A907" s="384"/>
      <c r="B907" s="384"/>
      <c r="C907" s="384"/>
      <c r="D907" s="384"/>
      <c r="E907" s="384"/>
      <c r="F907" s="384"/>
      <c r="G907" s="387"/>
      <c r="H907" s="549"/>
      <c r="I907" s="387"/>
      <c r="J907" s="550"/>
      <c r="K907" s="551"/>
      <c r="L907" s="551"/>
      <c r="M907" s="551"/>
      <c r="N907" s="387"/>
      <c r="O907" s="387"/>
      <c r="P907" s="551"/>
      <c r="Q907" s="394"/>
      <c r="R907" s="551"/>
      <c r="S907" s="395"/>
      <c r="T907" s="395"/>
      <c r="U907" s="395"/>
      <c r="V907" s="395"/>
      <c r="W907" s="395"/>
      <c r="X907" s="622"/>
      <c r="Y907" s="458"/>
      <c r="Z907" s="458"/>
      <c r="AA907" s="458"/>
    </row>
    <row r="908" spans="1:27" s="303" customFormat="1" ht="14.25">
      <c r="A908" s="384"/>
      <c r="B908" s="384"/>
      <c r="C908" s="384"/>
      <c r="D908" s="384"/>
      <c r="E908" s="384"/>
      <c r="F908" s="384"/>
      <c r="G908" s="388"/>
      <c r="H908" s="389"/>
      <c r="I908" s="388"/>
      <c r="J908" s="391"/>
      <c r="K908" s="392"/>
      <c r="L908" s="392"/>
      <c r="M908" s="392"/>
      <c r="N908" s="388"/>
      <c r="O908" s="388"/>
      <c r="P908" s="392"/>
      <c r="Q908" s="394"/>
      <c r="R908" s="392"/>
      <c r="S908" s="395"/>
      <c r="T908" s="396"/>
      <c r="U908" s="396"/>
      <c r="V908" s="396"/>
      <c r="W908" s="396"/>
      <c r="X908" s="397"/>
      <c r="Y908" s="339"/>
      <c r="Z908" s="339"/>
      <c r="AA908" s="339"/>
    </row>
    <row r="909" spans="1:27" s="303" customFormat="1" ht="14.25">
      <c r="A909" s="384"/>
      <c r="B909" s="384"/>
      <c r="C909" s="384"/>
      <c r="D909" s="384"/>
      <c r="E909" s="384"/>
      <c r="F909" s="384"/>
      <c r="G909" s="387"/>
      <c r="H909" s="549"/>
      <c r="I909" s="387"/>
      <c r="J909" s="550"/>
      <c r="K909" s="551"/>
      <c r="L909" s="551"/>
      <c r="M909" s="551"/>
      <c r="N909" s="387"/>
      <c r="O909" s="387"/>
      <c r="P909" s="551"/>
      <c r="Q909" s="394"/>
      <c r="R909" s="551"/>
      <c r="S909" s="395"/>
      <c r="T909" s="395"/>
      <c r="U909" s="395"/>
      <c r="V909" s="395"/>
      <c r="W909" s="395"/>
      <c r="X909" s="622"/>
      <c r="Y909" s="458"/>
      <c r="Z909" s="458"/>
      <c r="AA909" s="458"/>
    </row>
    <row r="910" spans="1:27" s="303" customFormat="1" ht="14.25">
      <c r="A910" s="384"/>
      <c r="B910" s="384"/>
      <c r="C910" s="384"/>
      <c r="D910" s="384"/>
      <c r="E910" s="384"/>
      <c r="F910" s="384"/>
      <c r="G910" s="388"/>
      <c r="H910" s="389"/>
      <c r="I910" s="388"/>
      <c r="J910" s="391"/>
      <c r="K910" s="392"/>
      <c r="L910" s="392"/>
      <c r="M910" s="392"/>
      <c r="N910" s="388"/>
      <c r="O910" s="388"/>
      <c r="P910" s="392"/>
      <c r="Q910" s="394"/>
      <c r="R910" s="392"/>
      <c r="S910" s="395"/>
      <c r="T910" s="396"/>
      <c r="U910" s="396"/>
      <c r="V910" s="396"/>
      <c r="W910" s="396"/>
      <c r="X910" s="397"/>
      <c r="Y910" s="339"/>
      <c r="Z910" s="339"/>
      <c r="AA910" s="339"/>
    </row>
    <row r="911" spans="1:27" s="303" customFormat="1" ht="14.25">
      <c r="A911" s="384"/>
      <c r="B911" s="384"/>
      <c r="C911" s="384"/>
      <c r="D911" s="384"/>
      <c r="E911" s="384"/>
      <c r="F911" s="384"/>
      <c r="G911" s="387"/>
      <c r="H911" s="549"/>
      <c r="I911" s="387"/>
      <c r="J911" s="550"/>
      <c r="K911" s="551"/>
      <c r="L911" s="551"/>
      <c r="M911" s="551"/>
      <c r="N911" s="387"/>
      <c r="O911" s="387"/>
      <c r="P911" s="551"/>
      <c r="Q911" s="394"/>
      <c r="R911" s="551"/>
      <c r="S911" s="395"/>
      <c r="T911" s="395"/>
      <c r="U911" s="395"/>
      <c r="V911" s="395"/>
      <c r="W911" s="395"/>
      <c r="X911" s="622"/>
      <c r="Y911" s="458"/>
      <c r="Z911" s="458"/>
      <c r="AA911" s="458"/>
    </row>
    <row r="912" spans="1:27" s="303" customFormat="1" ht="14.25">
      <c r="A912" s="384"/>
      <c r="B912" s="384"/>
      <c r="C912" s="384"/>
      <c r="D912" s="384"/>
      <c r="E912" s="384"/>
      <c r="F912" s="384"/>
      <c r="G912" s="388"/>
      <c r="H912" s="389"/>
      <c r="I912" s="388"/>
      <c r="J912" s="391"/>
      <c r="K912" s="392"/>
      <c r="L912" s="392"/>
      <c r="M912" s="392"/>
      <c r="N912" s="388"/>
      <c r="O912" s="388"/>
      <c r="P912" s="392"/>
      <c r="Q912" s="394"/>
      <c r="R912" s="392"/>
      <c r="S912" s="395"/>
      <c r="T912" s="396"/>
      <c r="U912" s="396"/>
      <c r="V912" s="396"/>
      <c r="W912" s="396"/>
      <c r="X912" s="397"/>
      <c r="Y912" s="339"/>
      <c r="Z912" s="339"/>
      <c r="AA912" s="339"/>
    </row>
    <row r="913" spans="1:27" s="303" customFormat="1" ht="14.25">
      <c r="A913" s="384"/>
      <c r="B913" s="384"/>
      <c r="C913" s="384"/>
      <c r="D913" s="384"/>
      <c r="E913" s="384"/>
      <c r="F913" s="384"/>
      <c r="G913" s="387"/>
      <c r="H913" s="549"/>
      <c r="I913" s="387"/>
      <c r="J913" s="550"/>
      <c r="K913" s="551"/>
      <c r="L913" s="551"/>
      <c r="M913" s="551"/>
      <c r="N913" s="387"/>
      <c r="O913" s="387"/>
      <c r="P913" s="551"/>
      <c r="Q913" s="394"/>
      <c r="R913" s="551"/>
      <c r="S913" s="395"/>
      <c r="T913" s="395"/>
      <c r="U913" s="395"/>
      <c r="V913" s="395"/>
      <c r="W913" s="395"/>
      <c r="X913" s="622"/>
      <c r="Y913" s="458"/>
      <c r="Z913" s="458"/>
      <c r="AA913" s="458"/>
    </row>
    <row r="914" spans="1:27" s="303" customFormat="1" ht="14.25">
      <c r="A914" s="384"/>
      <c r="B914" s="384"/>
      <c r="C914" s="384"/>
      <c r="D914" s="384"/>
      <c r="E914" s="384"/>
      <c r="F914" s="384"/>
      <c r="G914" s="388"/>
      <c r="H914" s="389"/>
      <c r="I914" s="388"/>
      <c r="J914" s="391"/>
      <c r="K914" s="392"/>
      <c r="L914" s="392"/>
      <c r="M914" s="392"/>
      <c r="N914" s="388"/>
      <c r="O914" s="388"/>
      <c r="P914" s="392"/>
      <c r="Q914" s="394"/>
      <c r="R914" s="392"/>
      <c r="S914" s="395"/>
      <c r="T914" s="396"/>
      <c r="U914" s="396"/>
      <c r="V914" s="396"/>
      <c r="W914" s="396"/>
      <c r="X914" s="397"/>
      <c r="Y914" s="339"/>
      <c r="Z914" s="339"/>
      <c r="AA914" s="339"/>
    </row>
    <row r="915" spans="1:27" s="303" customFormat="1" ht="14.25">
      <c r="A915" s="384"/>
      <c r="B915" s="384"/>
      <c r="C915" s="384"/>
      <c r="D915" s="384"/>
      <c r="E915" s="384"/>
      <c r="F915" s="384"/>
      <c r="G915" s="387"/>
      <c r="H915" s="549"/>
      <c r="I915" s="387"/>
      <c r="J915" s="550"/>
      <c r="K915" s="551"/>
      <c r="L915" s="551"/>
      <c r="M915" s="551"/>
      <c r="N915" s="387"/>
      <c r="O915" s="387"/>
      <c r="P915" s="551"/>
      <c r="Q915" s="394"/>
      <c r="R915" s="551"/>
      <c r="S915" s="395"/>
      <c r="T915" s="395"/>
      <c r="U915" s="395"/>
      <c r="V915" s="395"/>
      <c r="W915" s="395"/>
      <c r="X915" s="622"/>
      <c r="Y915" s="458"/>
      <c r="Z915" s="458"/>
      <c r="AA915" s="458"/>
    </row>
    <row r="916" spans="1:27" s="303" customFormat="1" ht="14.25">
      <c r="A916" s="384"/>
      <c r="B916" s="384"/>
      <c r="C916" s="384"/>
      <c r="D916" s="384"/>
      <c r="E916" s="384"/>
      <c r="F916" s="384"/>
      <c r="G916" s="388"/>
      <c r="H916" s="389"/>
      <c r="I916" s="388"/>
      <c r="J916" s="391"/>
      <c r="K916" s="392"/>
      <c r="L916" s="392"/>
      <c r="M916" s="392"/>
      <c r="N916" s="388"/>
      <c r="O916" s="388"/>
      <c r="P916" s="392"/>
      <c r="Q916" s="394"/>
      <c r="R916" s="392"/>
      <c r="S916" s="395"/>
      <c r="T916" s="396"/>
      <c r="U916" s="396"/>
      <c r="V916" s="396"/>
      <c r="W916" s="396"/>
      <c r="X916" s="397"/>
      <c r="Y916" s="339"/>
      <c r="Z916" s="339"/>
      <c r="AA916" s="339"/>
    </row>
    <row r="917" spans="1:27" s="303" customFormat="1" ht="14.25">
      <c r="A917" s="384"/>
      <c r="B917" s="384"/>
      <c r="C917" s="384"/>
      <c r="D917" s="384"/>
      <c r="E917" s="384"/>
      <c r="F917" s="384"/>
      <c r="G917" s="387"/>
      <c r="H917" s="549"/>
      <c r="I917" s="387"/>
      <c r="J917" s="550"/>
      <c r="K917" s="551"/>
      <c r="L917" s="551"/>
      <c r="M917" s="551"/>
      <c r="N917" s="387"/>
      <c r="O917" s="387"/>
      <c r="P917" s="551"/>
      <c r="Q917" s="394"/>
      <c r="R917" s="551"/>
      <c r="S917" s="395"/>
      <c r="T917" s="395"/>
      <c r="U917" s="395"/>
      <c r="V917" s="395"/>
      <c r="W917" s="395"/>
      <c r="X917" s="622"/>
      <c r="Y917" s="458"/>
      <c r="Z917" s="458"/>
      <c r="AA917" s="458"/>
    </row>
    <row r="918" spans="1:27" s="303" customFormat="1" ht="14.25">
      <c r="A918" s="384"/>
      <c r="B918" s="384"/>
      <c r="C918" s="384"/>
      <c r="D918" s="384"/>
      <c r="E918" s="384"/>
      <c r="F918" s="384"/>
      <c r="G918" s="388"/>
      <c r="H918" s="389"/>
      <c r="I918" s="388"/>
      <c r="J918" s="391"/>
      <c r="K918" s="392"/>
      <c r="L918" s="392"/>
      <c r="M918" s="392"/>
      <c r="N918" s="388"/>
      <c r="O918" s="388"/>
      <c r="P918" s="392"/>
      <c r="Q918" s="394"/>
      <c r="R918" s="392"/>
      <c r="S918" s="395"/>
      <c r="T918" s="396"/>
      <c r="U918" s="396"/>
      <c r="V918" s="396"/>
      <c r="W918" s="396"/>
      <c r="X918" s="397"/>
      <c r="Y918" s="339"/>
      <c r="Z918" s="339"/>
      <c r="AA918" s="339"/>
    </row>
    <row r="919" spans="1:27" s="303" customFormat="1" ht="14.25">
      <c r="A919" s="384"/>
      <c r="B919" s="384"/>
      <c r="C919" s="384"/>
      <c r="D919" s="384"/>
      <c r="E919" s="384"/>
      <c r="F919" s="384"/>
      <c r="G919" s="387"/>
      <c r="H919" s="549"/>
      <c r="I919" s="387"/>
      <c r="J919" s="550"/>
      <c r="K919" s="551"/>
      <c r="L919" s="551"/>
      <c r="M919" s="551"/>
      <c r="N919" s="387"/>
      <c r="O919" s="387"/>
      <c r="P919" s="551"/>
      <c r="Q919" s="394"/>
      <c r="R919" s="551"/>
      <c r="S919" s="395"/>
      <c r="T919" s="395"/>
      <c r="U919" s="395"/>
      <c r="V919" s="395"/>
      <c r="W919" s="395"/>
      <c r="X919" s="622"/>
      <c r="Y919" s="458"/>
      <c r="Z919" s="458"/>
      <c r="AA919" s="458"/>
    </row>
    <row r="920" spans="1:27" s="303" customFormat="1" ht="14.25">
      <c r="A920" s="384"/>
      <c r="B920" s="384"/>
      <c r="C920" s="384"/>
      <c r="D920" s="384"/>
      <c r="E920" s="384"/>
      <c r="F920" s="384"/>
      <c r="G920" s="388"/>
      <c r="H920" s="389"/>
      <c r="I920" s="388"/>
      <c r="J920" s="391"/>
      <c r="K920" s="392"/>
      <c r="L920" s="392"/>
      <c r="M920" s="392"/>
      <c r="N920" s="388"/>
      <c r="O920" s="388"/>
      <c r="P920" s="392"/>
      <c r="Q920" s="394"/>
      <c r="R920" s="392"/>
      <c r="S920" s="395"/>
      <c r="T920" s="396"/>
      <c r="U920" s="396"/>
      <c r="V920" s="396"/>
      <c r="W920" s="396"/>
      <c r="X920" s="397"/>
      <c r="Y920" s="339"/>
      <c r="Z920" s="339"/>
      <c r="AA920" s="339"/>
    </row>
    <row r="921" spans="1:27" s="303" customFormat="1" ht="14.25">
      <c r="A921" s="384"/>
      <c r="B921" s="384"/>
      <c r="C921" s="384"/>
      <c r="D921" s="384"/>
      <c r="E921" s="384"/>
      <c r="F921" s="384"/>
      <c r="G921" s="387"/>
      <c r="H921" s="549"/>
      <c r="I921" s="387"/>
      <c r="J921" s="550"/>
      <c r="K921" s="551"/>
      <c r="L921" s="551"/>
      <c r="M921" s="551"/>
      <c r="N921" s="387"/>
      <c r="O921" s="387"/>
      <c r="P921" s="551"/>
      <c r="Q921" s="394"/>
      <c r="R921" s="551"/>
      <c r="S921" s="395"/>
      <c r="T921" s="395"/>
      <c r="U921" s="395"/>
      <c r="V921" s="395"/>
      <c r="W921" s="395"/>
      <c r="X921" s="622"/>
      <c r="Y921" s="458"/>
      <c r="Z921" s="458"/>
      <c r="AA921" s="458"/>
    </row>
    <row r="922" spans="1:27" s="303" customFormat="1" ht="14.25">
      <c r="A922" s="384"/>
      <c r="B922" s="384"/>
      <c r="C922" s="384"/>
      <c r="D922" s="384"/>
      <c r="E922" s="384"/>
      <c r="F922" s="384"/>
      <c r="G922" s="388"/>
      <c r="H922" s="389"/>
      <c r="I922" s="388"/>
      <c r="J922" s="391"/>
      <c r="K922" s="392"/>
      <c r="L922" s="392"/>
      <c r="M922" s="392"/>
      <c r="N922" s="388"/>
      <c r="O922" s="388"/>
      <c r="P922" s="392"/>
      <c r="Q922" s="394"/>
      <c r="R922" s="392"/>
      <c r="S922" s="395"/>
      <c r="T922" s="396"/>
      <c r="U922" s="396"/>
      <c r="V922" s="396"/>
      <c r="W922" s="396"/>
      <c r="X922" s="397"/>
      <c r="Y922" s="339"/>
      <c r="Z922" s="339"/>
      <c r="AA922" s="339"/>
    </row>
    <row r="923" spans="1:27" s="303" customFormat="1" ht="14.25">
      <c r="A923" s="384"/>
      <c r="B923" s="384"/>
      <c r="C923" s="384"/>
      <c r="D923" s="384"/>
      <c r="E923" s="384"/>
      <c r="F923" s="384"/>
      <c r="G923" s="387"/>
      <c r="H923" s="549"/>
      <c r="I923" s="387"/>
      <c r="J923" s="550"/>
      <c r="K923" s="551"/>
      <c r="L923" s="551"/>
      <c r="M923" s="551"/>
      <c r="N923" s="387"/>
      <c r="O923" s="387"/>
      <c r="P923" s="551"/>
      <c r="Q923" s="394"/>
      <c r="R923" s="551"/>
      <c r="S923" s="395"/>
      <c r="T923" s="395"/>
      <c r="U923" s="395"/>
      <c r="V923" s="395"/>
      <c r="W923" s="395"/>
      <c r="X923" s="622"/>
      <c r="Y923" s="458"/>
      <c r="Z923" s="458"/>
      <c r="AA923" s="458"/>
    </row>
    <row r="924" spans="1:27" s="303" customFormat="1" ht="14.25">
      <c r="A924" s="384"/>
      <c r="B924" s="384"/>
      <c r="C924" s="384"/>
      <c r="D924" s="384"/>
      <c r="E924" s="384"/>
      <c r="F924" s="384"/>
      <c r="G924" s="388"/>
      <c r="H924" s="389"/>
      <c r="I924" s="388"/>
      <c r="J924" s="391"/>
      <c r="K924" s="392"/>
      <c r="L924" s="392"/>
      <c r="M924" s="392"/>
      <c r="N924" s="388"/>
      <c r="O924" s="388"/>
      <c r="P924" s="392"/>
      <c r="Q924" s="394"/>
      <c r="R924" s="392"/>
      <c r="S924" s="395"/>
      <c r="T924" s="396"/>
      <c r="U924" s="396"/>
      <c r="V924" s="396"/>
      <c r="W924" s="396"/>
      <c r="X924" s="397"/>
      <c r="Y924" s="339"/>
      <c r="Z924" s="339"/>
      <c r="AA924" s="339"/>
    </row>
    <row r="925" spans="1:27" s="303" customFormat="1" ht="14.25">
      <c r="A925" s="384"/>
      <c r="B925" s="384"/>
      <c r="C925" s="384"/>
      <c r="D925" s="384"/>
      <c r="E925" s="384"/>
      <c r="F925" s="384"/>
      <c r="G925" s="387"/>
      <c r="H925" s="549"/>
      <c r="I925" s="387"/>
      <c r="J925" s="550"/>
      <c r="K925" s="551"/>
      <c r="L925" s="551"/>
      <c r="M925" s="551"/>
      <c r="N925" s="387"/>
      <c r="O925" s="387"/>
      <c r="P925" s="551"/>
      <c r="Q925" s="394"/>
      <c r="R925" s="551"/>
      <c r="S925" s="395"/>
      <c r="T925" s="395"/>
      <c r="U925" s="395"/>
      <c r="V925" s="395"/>
      <c r="W925" s="395"/>
      <c r="X925" s="622"/>
      <c r="Y925" s="458"/>
      <c r="Z925" s="458"/>
      <c r="AA925" s="458"/>
    </row>
    <row r="926" spans="1:27" s="303" customFormat="1" ht="14.25">
      <c r="A926" s="384"/>
      <c r="B926" s="384"/>
      <c r="C926" s="384"/>
      <c r="D926" s="384"/>
      <c r="E926" s="384"/>
      <c r="F926" s="384"/>
      <c r="G926" s="388"/>
      <c r="H926" s="389"/>
      <c r="I926" s="388"/>
      <c r="J926" s="391"/>
      <c r="K926" s="392"/>
      <c r="L926" s="392"/>
      <c r="M926" s="392"/>
      <c r="N926" s="388"/>
      <c r="O926" s="388"/>
      <c r="P926" s="392"/>
      <c r="Q926" s="394"/>
      <c r="R926" s="392"/>
      <c r="S926" s="395"/>
      <c r="T926" s="396"/>
      <c r="U926" s="396"/>
      <c r="V926" s="396"/>
      <c r="W926" s="396"/>
      <c r="X926" s="397"/>
      <c r="Y926" s="339"/>
      <c r="Z926" s="339"/>
      <c r="AA926" s="339"/>
    </row>
    <row r="927" spans="1:27" s="303" customFormat="1" ht="14.25">
      <c r="A927" s="384"/>
      <c r="B927" s="384"/>
      <c r="C927" s="384"/>
      <c r="D927" s="384"/>
      <c r="E927" s="384"/>
      <c r="F927" s="384"/>
      <c r="G927" s="387"/>
      <c r="H927" s="549"/>
      <c r="I927" s="387"/>
      <c r="J927" s="550"/>
      <c r="K927" s="551"/>
      <c r="L927" s="551"/>
      <c r="M927" s="551"/>
      <c r="N927" s="387"/>
      <c r="O927" s="387"/>
      <c r="P927" s="551"/>
      <c r="Q927" s="394"/>
      <c r="R927" s="551"/>
      <c r="S927" s="395"/>
      <c r="T927" s="395"/>
      <c r="U927" s="395"/>
      <c r="V927" s="395"/>
      <c r="W927" s="395"/>
      <c r="X927" s="622"/>
      <c r="Y927" s="458"/>
      <c r="Z927" s="458"/>
      <c r="AA927" s="458"/>
    </row>
    <row r="928" spans="1:27" s="303" customFormat="1" ht="14.25">
      <c r="A928" s="384"/>
      <c r="B928" s="384"/>
      <c r="C928" s="384"/>
      <c r="D928" s="384"/>
      <c r="E928" s="384"/>
      <c r="F928" s="384"/>
      <c r="G928" s="388"/>
      <c r="H928" s="389"/>
      <c r="I928" s="388"/>
      <c r="J928" s="391"/>
      <c r="K928" s="392"/>
      <c r="L928" s="392"/>
      <c r="M928" s="392"/>
      <c r="N928" s="388"/>
      <c r="O928" s="388"/>
      <c r="P928" s="392"/>
      <c r="Q928" s="394"/>
      <c r="R928" s="392"/>
      <c r="S928" s="395"/>
      <c r="T928" s="396"/>
      <c r="U928" s="396"/>
      <c r="V928" s="396"/>
      <c r="W928" s="396"/>
      <c r="X928" s="397"/>
      <c r="Y928" s="339"/>
      <c r="Z928" s="339"/>
      <c r="AA928" s="339"/>
    </row>
    <row r="929" spans="1:27" s="303" customFormat="1" ht="14.25">
      <c r="A929" s="384"/>
      <c r="B929" s="384"/>
      <c r="C929" s="384"/>
      <c r="D929" s="384"/>
      <c r="E929" s="384"/>
      <c r="F929" s="384"/>
      <c r="G929" s="387"/>
      <c r="H929" s="549"/>
      <c r="I929" s="387"/>
      <c r="J929" s="550"/>
      <c r="K929" s="551"/>
      <c r="L929" s="551"/>
      <c r="M929" s="551"/>
      <c r="N929" s="387"/>
      <c r="O929" s="387"/>
      <c r="P929" s="551"/>
      <c r="Q929" s="394"/>
      <c r="R929" s="551"/>
      <c r="S929" s="395"/>
      <c r="T929" s="395"/>
      <c r="U929" s="395"/>
      <c r="V929" s="395"/>
      <c r="W929" s="395"/>
      <c r="X929" s="622"/>
      <c r="Y929" s="458"/>
      <c r="Z929" s="458"/>
      <c r="AA929" s="458"/>
    </row>
    <row r="930" spans="1:27" s="303" customFormat="1" ht="14.25">
      <c r="A930" s="384"/>
      <c r="B930" s="384"/>
      <c r="C930" s="384"/>
      <c r="D930" s="384"/>
      <c r="E930" s="384"/>
      <c r="F930" s="384"/>
      <c r="G930" s="388"/>
      <c r="H930" s="389"/>
      <c r="I930" s="388"/>
      <c r="J930" s="391"/>
      <c r="K930" s="392"/>
      <c r="L930" s="392"/>
      <c r="M930" s="392"/>
      <c r="N930" s="388"/>
      <c r="O930" s="388"/>
      <c r="P930" s="392"/>
      <c r="Q930" s="394"/>
      <c r="R930" s="392"/>
      <c r="S930" s="395"/>
      <c r="T930" s="396"/>
      <c r="U930" s="396"/>
      <c r="V930" s="396"/>
      <c r="W930" s="396"/>
      <c r="X930" s="397"/>
      <c r="Y930" s="339"/>
      <c r="Z930" s="339"/>
      <c r="AA930" s="339"/>
    </row>
    <row r="931" spans="1:27" s="303" customFormat="1" ht="14.25">
      <c r="A931" s="384"/>
      <c r="B931" s="384"/>
      <c r="C931" s="384"/>
      <c r="D931" s="384"/>
      <c r="E931" s="384"/>
      <c r="F931" s="384"/>
      <c r="G931" s="387"/>
      <c r="H931" s="549"/>
      <c r="I931" s="387"/>
      <c r="J931" s="550"/>
      <c r="K931" s="551"/>
      <c r="L931" s="551"/>
      <c r="M931" s="551"/>
      <c r="N931" s="387"/>
      <c r="O931" s="387"/>
      <c r="P931" s="551"/>
      <c r="Q931" s="394"/>
      <c r="R931" s="551"/>
      <c r="S931" s="395"/>
      <c r="T931" s="395"/>
      <c r="U931" s="395"/>
      <c r="V931" s="395"/>
      <c r="W931" s="395"/>
      <c r="X931" s="622"/>
      <c r="Y931" s="458"/>
      <c r="Z931" s="458"/>
      <c r="AA931" s="458"/>
    </row>
    <row r="932" spans="1:27" s="303" customFormat="1" ht="14.25">
      <c r="A932" s="384"/>
      <c r="B932" s="384"/>
      <c r="C932" s="384"/>
      <c r="D932" s="384"/>
      <c r="E932" s="384"/>
      <c r="F932" s="384"/>
      <c r="G932" s="388"/>
      <c r="H932" s="389"/>
      <c r="I932" s="388"/>
      <c r="J932" s="391"/>
      <c r="K932" s="392"/>
      <c r="L932" s="392"/>
      <c r="M932" s="392"/>
      <c r="N932" s="388"/>
      <c r="O932" s="388"/>
      <c r="P932" s="392"/>
      <c r="Q932" s="394"/>
      <c r="R932" s="392"/>
      <c r="S932" s="395"/>
      <c r="T932" s="396"/>
      <c r="U932" s="396"/>
      <c r="V932" s="396"/>
      <c r="W932" s="396"/>
      <c r="X932" s="397"/>
      <c r="Y932" s="339"/>
      <c r="Z932" s="339"/>
      <c r="AA932" s="339"/>
    </row>
    <row r="933" spans="1:27" s="303" customFormat="1" ht="14.25">
      <c r="A933" s="384"/>
      <c r="B933" s="384"/>
      <c r="C933" s="384"/>
      <c r="D933" s="384"/>
      <c r="E933" s="384"/>
      <c r="F933" s="384"/>
      <c r="G933" s="387"/>
      <c r="H933" s="549"/>
      <c r="I933" s="387"/>
      <c r="J933" s="550"/>
      <c r="K933" s="551"/>
      <c r="L933" s="551"/>
      <c r="M933" s="551"/>
      <c r="N933" s="387"/>
      <c r="O933" s="387"/>
      <c r="P933" s="551"/>
      <c r="Q933" s="394"/>
      <c r="R933" s="551"/>
      <c r="S933" s="395"/>
      <c r="T933" s="395"/>
      <c r="U933" s="395"/>
      <c r="V933" s="395"/>
      <c r="W933" s="395"/>
      <c r="X933" s="622"/>
      <c r="Y933" s="458"/>
      <c r="Z933" s="458"/>
      <c r="AA933" s="458"/>
    </row>
    <row r="934" spans="1:27" s="303" customFormat="1" ht="14.25">
      <c r="A934" s="384"/>
      <c r="B934" s="384"/>
      <c r="C934" s="384"/>
      <c r="D934" s="384"/>
      <c r="E934" s="384"/>
      <c r="F934" s="384"/>
      <c r="G934" s="388"/>
      <c r="H934" s="389"/>
      <c r="I934" s="388"/>
      <c r="J934" s="391"/>
      <c r="K934" s="392"/>
      <c r="L934" s="392"/>
      <c r="M934" s="392"/>
      <c r="N934" s="388"/>
      <c r="O934" s="388"/>
      <c r="P934" s="392"/>
      <c r="Q934" s="394"/>
      <c r="R934" s="392"/>
      <c r="S934" s="395"/>
      <c r="T934" s="396"/>
      <c r="U934" s="396"/>
      <c r="V934" s="396"/>
      <c r="W934" s="396"/>
      <c r="X934" s="397"/>
      <c r="Y934" s="339"/>
      <c r="Z934" s="339"/>
      <c r="AA934" s="339"/>
    </row>
    <row r="935" spans="1:27" s="303" customFormat="1" ht="14.25">
      <c r="A935" s="384"/>
      <c r="B935" s="384"/>
      <c r="C935" s="384"/>
      <c r="D935" s="384"/>
      <c r="E935" s="384"/>
      <c r="F935" s="384"/>
      <c r="G935" s="387"/>
      <c r="H935" s="549"/>
      <c r="I935" s="387"/>
      <c r="J935" s="550"/>
      <c r="K935" s="551"/>
      <c r="L935" s="551"/>
      <c r="M935" s="551"/>
      <c r="N935" s="387"/>
      <c r="O935" s="387"/>
      <c r="P935" s="551"/>
      <c r="Q935" s="394"/>
      <c r="R935" s="551"/>
      <c r="S935" s="395"/>
      <c r="T935" s="395"/>
      <c r="U935" s="395"/>
      <c r="V935" s="395"/>
      <c r="W935" s="395"/>
      <c r="X935" s="622"/>
      <c r="Y935" s="458"/>
      <c r="Z935" s="458"/>
      <c r="AA935" s="458"/>
    </row>
    <row r="936" spans="1:27" s="303" customFormat="1" ht="14.25">
      <c r="A936" s="384"/>
      <c r="B936" s="384"/>
      <c r="C936" s="384"/>
      <c r="D936" s="384"/>
      <c r="E936" s="384"/>
      <c r="F936" s="384"/>
      <c r="G936" s="388"/>
      <c r="H936" s="389"/>
      <c r="I936" s="388"/>
      <c r="J936" s="391"/>
      <c r="K936" s="392"/>
      <c r="L936" s="392"/>
      <c r="M936" s="392"/>
      <c r="N936" s="388"/>
      <c r="O936" s="388"/>
      <c r="P936" s="392"/>
      <c r="Q936" s="394"/>
      <c r="R936" s="392"/>
      <c r="S936" s="395"/>
      <c r="T936" s="396"/>
      <c r="U936" s="396"/>
      <c r="V936" s="396"/>
      <c r="W936" s="396"/>
      <c r="X936" s="397"/>
      <c r="Y936" s="339"/>
      <c r="Z936" s="339"/>
      <c r="AA936" s="339"/>
    </row>
    <row r="937" spans="1:27" s="303" customFormat="1" ht="14.25">
      <c r="A937" s="384"/>
      <c r="B937" s="384"/>
      <c r="C937" s="384"/>
      <c r="D937" s="384"/>
      <c r="E937" s="384"/>
      <c r="F937" s="384"/>
      <c r="G937" s="387"/>
      <c r="H937" s="549"/>
      <c r="I937" s="387"/>
      <c r="J937" s="550"/>
      <c r="K937" s="551"/>
      <c r="L937" s="551"/>
      <c r="M937" s="551"/>
      <c r="N937" s="387"/>
      <c r="O937" s="387"/>
      <c r="P937" s="551"/>
      <c r="Q937" s="394"/>
      <c r="R937" s="551"/>
      <c r="S937" s="395"/>
      <c r="T937" s="395"/>
      <c r="U937" s="395"/>
      <c r="V937" s="395"/>
      <c r="W937" s="395"/>
      <c r="X937" s="622"/>
      <c r="Y937" s="458"/>
      <c r="Z937" s="458"/>
      <c r="AA937" s="458"/>
    </row>
    <row r="938" spans="1:27" s="303" customFormat="1" ht="14.25">
      <c r="A938" s="384"/>
      <c r="B938" s="384"/>
      <c r="C938" s="384"/>
      <c r="D938" s="384"/>
      <c r="E938" s="384"/>
      <c r="F938" s="384"/>
      <c r="G938" s="388"/>
      <c r="H938" s="389"/>
      <c r="I938" s="388"/>
      <c r="J938" s="391"/>
      <c r="K938" s="392"/>
      <c r="L938" s="392"/>
      <c r="M938" s="392"/>
      <c r="N938" s="388"/>
      <c r="O938" s="388"/>
      <c r="P938" s="392"/>
      <c r="Q938" s="394"/>
      <c r="R938" s="392"/>
      <c r="S938" s="395"/>
      <c r="T938" s="396"/>
      <c r="U938" s="396"/>
      <c r="V938" s="396"/>
      <c r="W938" s="396"/>
      <c r="X938" s="397"/>
      <c r="Y938" s="339"/>
      <c r="Z938" s="339"/>
      <c r="AA938" s="339"/>
    </row>
    <row r="939" spans="1:27" s="303" customFormat="1" ht="14.25">
      <c r="A939" s="384"/>
      <c r="B939" s="384"/>
      <c r="C939" s="384"/>
      <c r="D939" s="384"/>
      <c r="E939" s="384"/>
      <c r="F939" s="384"/>
      <c r="G939" s="387"/>
      <c r="H939" s="549"/>
      <c r="I939" s="387"/>
      <c r="J939" s="550"/>
      <c r="K939" s="551"/>
      <c r="L939" s="551"/>
      <c r="M939" s="551"/>
      <c r="N939" s="387"/>
      <c r="O939" s="387"/>
      <c r="P939" s="551"/>
      <c r="Q939" s="394"/>
      <c r="R939" s="551"/>
      <c r="S939" s="395"/>
      <c r="T939" s="395"/>
      <c r="U939" s="395"/>
      <c r="V939" s="395"/>
      <c r="W939" s="395"/>
      <c r="X939" s="622"/>
      <c r="Y939" s="458"/>
      <c r="Z939" s="458"/>
      <c r="AA939" s="458"/>
    </row>
    <row r="940" spans="1:27" s="303" customFormat="1" ht="14.25">
      <c r="A940" s="384"/>
      <c r="B940" s="384"/>
      <c r="C940" s="384"/>
      <c r="D940" s="384"/>
      <c r="E940" s="384"/>
      <c r="F940" s="384"/>
      <c r="G940" s="388"/>
      <c r="H940" s="389"/>
      <c r="I940" s="388"/>
      <c r="J940" s="391"/>
      <c r="K940" s="392"/>
      <c r="L940" s="392"/>
      <c r="M940" s="392"/>
      <c r="N940" s="388"/>
      <c r="O940" s="388"/>
      <c r="P940" s="392"/>
      <c r="Q940" s="394"/>
      <c r="R940" s="392"/>
      <c r="S940" s="395"/>
      <c r="T940" s="396"/>
      <c r="U940" s="396"/>
      <c r="V940" s="396"/>
      <c r="W940" s="396"/>
      <c r="X940" s="397"/>
      <c r="Y940" s="339"/>
      <c r="Z940" s="339"/>
      <c r="AA940" s="339"/>
    </row>
    <row r="941" spans="1:27" s="303" customFormat="1" ht="14.25">
      <c r="A941" s="384"/>
      <c r="B941" s="384"/>
      <c r="C941" s="384"/>
      <c r="D941" s="384"/>
      <c r="E941" s="384"/>
      <c r="F941" s="384"/>
      <c r="G941" s="387"/>
      <c r="H941" s="549"/>
      <c r="I941" s="387"/>
      <c r="J941" s="550"/>
      <c r="K941" s="551"/>
      <c r="L941" s="551"/>
      <c r="M941" s="551"/>
      <c r="N941" s="387"/>
      <c r="O941" s="387"/>
      <c r="P941" s="551"/>
      <c r="Q941" s="394"/>
      <c r="R941" s="551"/>
      <c r="S941" s="395"/>
      <c r="T941" s="395"/>
      <c r="U941" s="395"/>
      <c r="V941" s="395"/>
      <c r="W941" s="395"/>
      <c r="X941" s="622"/>
      <c r="Y941" s="458"/>
      <c r="Z941" s="458"/>
      <c r="AA941" s="458"/>
    </row>
    <row r="942" spans="1:27" s="303" customFormat="1" ht="14.25">
      <c r="A942" s="384"/>
      <c r="B942" s="384"/>
      <c r="C942" s="384"/>
      <c r="D942" s="384"/>
      <c r="E942" s="384"/>
      <c r="F942" s="384"/>
      <c r="G942" s="388"/>
      <c r="H942" s="389"/>
      <c r="I942" s="388"/>
      <c r="J942" s="391"/>
      <c r="K942" s="392"/>
      <c r="L942" s="392"/>
      <c r="M942" s="392"/>
      <c r="N942" s="388"/>
      <c r="O942" s="388"/>
      <c r="P942" s="392"/>
      <c r="Q942" s="394"/>
      <c r="R942" s="392"/>
      <c r="S942" s="395"/>
      <c r="T942" s="396"/>
      <c r="U942" s="396"/>
      <c r="V942" s="396"/>
      <c r="W942" s="396"/>
      <c r="X942" s="397"/>
      <c r="Y942" s="339"/>
      <c r="Z942" s="339"/>
      <c r="AA942" s="339"/>
    </row>
    <row r="943" spans="1:27" s="303" customFormat="1" ht="14.25">
      <c r="A943" s="384"/>
      <c r="B943" s="384"/>
      <c r="C943" s="384"/>
      <c r="D943" s="384"/>
      <c r="E943" s="384"/>
      <c r="F943" s="384"/>
      <c r="G943" s="387"/>
      <c r="H943" s="549"/>
      <c r="I943" s="387"/>
      <c r="J943" s="550"/>
      <c r="K943" s="551"/>
      <c r="L943" s="551"/>
      <c r="M943" s="551"/>
      <c r="N943" s="387"/>
      <c r="O943" s="387"/>
      <c r="P943" s="551"/>
      <c r="Q943" s="394"/>
      <c r="R943" s="551"/>
      <c r="S943" s="395"/>
      <c r="T943" s="395"/>
      <c r="U943" s="395"/>
      <c r="V943" s="395"/>
      <c r="W943" s="395"/>
      <c r="X943" s="622"/>
      <c r="Y943" s="458"/>
      <c r="Z943" s="458"/>
      <c r="AA943" s="458"/>
    </row>
    <row r="944" spans="1:27" s="303" customFormat="1" ht="14.25">
      <c r="A944" s="384"/>
      <c r="B944" s="384"/>
      <c r="C944" s="384"/>
      <c r="D944" s="384"/>
      <c r="E944" s="384"/>
      <c r="F944" s="384"/>
      <c r="G944" s="388"/>
      <c r="H944" s="389"/>
      <c r="I944" s="388"/>
      <c r="J944" s="391"/>
      <c r="K944" s="392"/>
      <c r="L944" s="392"/>
      <c r="M944" s="392"/>
      <c r="N944" s="388"/>
      <c r="O944" s="388"/>
      <c r="P944" s="392"/>
      <c r="Q944" s="394"/>
      <c r="R944" s="392"/>
      <c r="S944" s="395"/>
      <c r="T944" s="396"/>
      <c r="U944" s="396"/>
      <c r="V944" s="396"/>
      <c r="W944" s="396"/>
      <c r="X944" s="397"/>
      <c r="Y944" s="339"/>
      <c r="Z944" s="339"/>
      <c r="AA944" s="339"/>
    </row>
    <row r="945" spans="1:27" s="303" customFormat="1" ht="14.25">
      <c r="A945" s="384"/>
      <c r="B945" s="384"/>
      <c r="C945" s="384"/>
      <c r="D945" s="384"/>
      <c r="E945" s="384"/>
      <c r="F945" s="384"/>
      <c r="G945" s="387"/>
      <c r="H945" s="549"/>
      <c r="I945" s="387"/>
      <c r="J945" s="550"/>
      <c r="K945" s="551"/>
      <c r="L945" s="551"/>
      <c r="M945" s="551"/>
      <c r="N945" s="387"/>
      <c r="O945" s="387"/>
      <c r="P945" s="551"/>
      <c r="Q945" s="394"/>
      <c r="R945" s="551"/>
      <c r="S945" s="395"/>
      <c r="T945" s="395"/>
      <c r="U945" s="395"/>
      <c r="V945" s="395"/>
      <c r="W945" s="395"/>
      <c r="X945" s="622"/>
      <c r="Y945" s="458"/>
      <c r="Z945" s="458"/>
      <c r="AA945" s="458"/>
    </row>
    <row r="946" spans="1:27" s="303" customFormat="1" ht="14.25">
      <c r="A946" s="384"/>
      <c r="B946" s="384"/>
      <c r="C946" s="384"/>
      <c r="D946" s="384"/>
      <c r="E946" s="384"/>
      <c r="F946" s="384"/>
      <c r="G946" s="388"/>
      <c r="H946" s="389"/>
      <c r="I946" s="388"/>
      <c r="J946" s="391"/>
      <c r="K946" s="392"/>
      <c r="L946" s="392"/>
      <c r="M946" s="392"/>
      <c r="N946" s="388"/>
      <c r="O946" s="388"/>
      <c r="P946" s="392"/>
      <c r="Q946" s="394"/>
      <c r="R946" s="392"/>
      <c r="S946" s="395"/>
      <c r="T946" s="396"/>
      <c r="U946" s="396"/>
      <c r="V946" s="396"/>
      <c r="W946" s="396"/>
      <c r="X946" s="397"/>
      <c r="Y946" s="339"/>
      <c r="Z946" s="339"/>
      <c r="AA946" s="339"/>
    </row>
    <row r="947" spans="1:27" s="303" customFormat="1" ht="14.25">
      <c r="A947" s="384"/>
      <c r="B947" s="384"/>
      <c r="C947" s="384"/>
      <c r="D947" s="384"/>
      <c r="E947" s="384"/>
      <c r="F947" s="384"/>
      <c r="G947" s="387"/>
      <c r="H947" s="549"/>
      <c r="I947" s="387"/>
      <c r="J947" s="550"/>
      <c r="K947" s="551"/>
      <c r="L947" s="551"/>
      <c r="M947" s="551"/>
      <c r="N947" s="387"/>
      <c r="O947" s="387"/>
      <c r="P947" s="551"/>
      <c r="Q947" s="394"/>
      <c r="R947" s="551"/>
      <c r="S947" s="395"/>
      <c r="T947" s="395"/>
      <c r="U947" s="395"/>
      <c r="V947" s="395"/>
      <c r="W947" s="395"/>
      <c r="X947" s="622"/>
      <c r="Y947" s="458"/>
      <c r="Z947" s="458"/>
      <c r="AA947" s="458"/>
    </row>
    <row r="948" spans="1:27" s="303" customFormat="1" ht="14.25">
      <c r="A948" s="384"/>
      <c r="B948" s="384"/>
      <c r="C948" s="384"/>
      <c r="D948" s="384"/>
      <c r="E948" s="384"/>
      <c r="F948" s="384"/>
      <c r="G948" s="388"/>
      <c r="H948" s="389"/>
      <c r="I948" s="388"/>
      <c r="J948" s="391"/>
      <c r="K948" s="392"/>
      <c r="L948" s="392"/>
      <c r="M948" s="392"/>
      <c r="N948" s="388"/>
      <c r="O948" s="388"/>
      <c r="P948" s="392"/>
      <c r="Q948" s="394"/>
      <c r="R948" s="392"/>
      <c r="S948" s="395"/>
      <c r="T948" s="396"/>
      <c r="U948" s="396"/>
      <c r="V948" s="396"/>
      <c r="W948" s="396"/>
      <c r="X948" s="397"/>
      <c r="Y948" s="339"/>
      <c r="Z948" s="339"/>
      <c r="AA948" s="339"/>
    </row>
    <row r="949" spans="1:27" s="303" customFormat="1" ht="14.25">
      <c r="A949" s="384"/>
      <c r="B949" s="384"/>
      <c r="C949" s="384"/>
      <c r="D949" s="384"/>
      <c r="E949" s="384"/>
      <c r="F949" s="384"/>
      <c r="G949" s="387"/>
      <c r="H949" s="549"/>
      <c r="I949" s="387"/>
      <c r="J949" s="550"/>
      <c r="K949" s="551"/>
      <c r="L949" s="551"/>
      <c r="M949" s="551"/>
      <c r="N949" s="387"/>
      <c r="O949" s="387"/>
      <c r="P949" s="551"/>
      <c r="Q949" s="394"/>
      <c r="R949" s="551"/>
      <c r="S949" s="395"/>
      <c r="T949" s="395"/>
      <c r="U949" s="395"/>
      <c r="V949" s="395"/>
      <c r="W949" s="395"/>
      <c r="X949" s="622"/>
      <c r="Y949" s="458"/>
      <c r="Z949" s="458"/>
      <c r="AA949" s="458"/>
    </row>
    <row r="950" spans="1:27" s="303" customFormat="1" ht="14.25">
      <c r="A950" s="384"/>
      <c r="B950" s="384"/>
      <c r="C950" s="384"/>
      <c r="D950" s="384"/>
      <c r="E950" s="384"/>
      <c r="F950" s="384"/>
      <c r="G950" s="388"/>
      <c r="H950" s="389"/>
      <c r="I950" s="388"/>
      <c r="J950" s="391"/>
      <c r="K950" s="392"/>
      <c r="L950" s="392"/>
      <c r="M950" s="392"/>
      <c r="N950" s="388"/>
      <c r="O950" s="388"/>
      <c r="P950" s="392"/>
      <c r="Q950" s="394"/>
      <c r="R950" s="392"/>
      <c r="S950" s="395"/>
      <c r="T950" s="396"/>
      <c r="U950" s="396"/>
      <c r="V950" s="396"/>
      <c r="W950" s="396"/>
      <c r="X950" s="397"/>
      <c r="Y950" s="339"/>
      <c r="Z950" s="339"/>
      <c r="AA950" s="339"/>
    </row>
    <row r="951" spans="1:27" s="303" customFormat="1" ht="14.25">
      <c r="A951" s="384"/>
      <c r="B951" s="384"/>
      <c r="C951" s="384"/>
      <c r="D951" s="384"/>
      <c r="E951" s="384"/>
      <c r="F951" s="384"/>
      <c r="G951" s="387"/>
      <c r="H951" s="549"/>
      <c r="I951" s="387"/>
      <c r="J951" s="550"/>
      <c r="K951" s="551"/>
      <c r="L951" s="551"/>
      <c r="M951" s="551"/>
      <c r="N951" s="387"/>
      <c r="O951" s="387"/>
      <c r="P951" s="551"/>
      <c r="Q951" s="394"/>
      <c r="R951" s="551"/>
      <c r="S951" s="395"/>
      <c r="T951" s="395"/>
      <c r="U951" s="395"/>
      <c r="V951" s="395"/>
      <c r="W951" s="395"/>
      <c r="X951" s="622"/>
      <c r="Y951" s="458"/>
      <c r="Z951" s="458"/>
      <c r="AA951" s="458"/>
    </row>
    <row r="952" spans="1:27" s="303" customFormat="1" ht="14.25">
      <c r="A952" s="384"/>
      <c r="B952" s="384"/>
      <c r="C952" s="384"/>
      <c r="D952" s="384"/>
      <c r="E952" s="384"/>
      <c r="F952" s="384"/>
      <c r="G952" s="388"/>
      <c r="H952" s="389"/>
      <c r="I952" s="388"/>
      <c r="J952" s="391"/>
      <c r="K952" s="392"/>
      <c r="L952" s="392"/>
      <c r="M952" s="392"/>
      <c r="N952" s="388"/>
      <c r="O952" s="388"/>
      <c r="P952" s="392"/>
      <c r="Q952" s="394"/>
      <c r="R952" s="392"/>
      <c r="S952" s="395"/>
      <c r="T952" s="396"/>
      <c r="U952" s="396"/>
      <c r="V952" s="396"/>
      <c r="W952" s="396"/>
      <c r="X952" s="397"/>
      <c r="Y952" s="339"/>
      <c r="Z952" s="339"/>
      <c r="AA952" s="339"/>
    </row>
    <row r="953" spans="1:27" s="303" customFormat="1" ht="14.25">
      <c r="A953" s="384"/>
      <c r="B953" s="384"/>
      <c r="C953" s="384"/>
      <c r="D953" s="384"/>
      <c r="E953" s="384"/>
      <c r="F953" s="384"/>
      <c r="G953" s="387"/>
      <c r="H953" s="549"/>
      <c r="I953" s="387"/>
      <c r="J953" s="550"/>
      <c r="K953" s="551"/>
      <c r="L953" s="551"/>
      <c r="M953" s="551"/>
      <c r="N953" s="387"/>
      <c r="O953" s="387"/>
      <c r="P953" s="551"/>
      <c r="Q953" s="394"/>
      <c r="R953" s="551"/>
      <c r="S953" s="395"/>
      <c r="T953" s="395"/>
      <c r="U953" s="395"/>
      <c r="V953" s="395"/>
      <c r="W953" s="395"/>
      <c r="X953" s="622"/>
      <c r="Y953" s="458"/>
      <c r="Z953" s="458"/>
      <c r="AA953" s="458"/>
    </row>
    <row r="954" spans="1:27" s="303" customFormat="1" ht="14.25">
      <c r="A954" s="384"/>
      <c r="B954" s="384"/>
      <c r="C954" s="384"/>
      <c r="D954" s="384"/>
      <c r="E954" s="384"/>
      <c r="F954" s="384"/>
      <c r="G954" s="388"/>
      <c r="H954" s="389"/>
      <c r="I954" s="388"/>
      <c r="J954" s="391"/>
      <c r="K954" s="392"/>
      <c r="L954" s="392"/>
      <c r="M954" s="392"/>
      <c r="N954" s="388"/>
      <c r="O954" s="388"/>
      <c r="P954" s="392"/>
      <c r="Q954" s="394"/>
      <c r="R954" s="392"/>
      <c r="S954" s="395"/>
      <c r="T954" s="396"/>
      <c r="U954" s="396"/>
      <c r="V954" s="396"/>
      <c r="W954" s="396"/>
      <c r="X954" s="397"/>
      <c r="Y954" s="339"/>
      <c r="Z954" s="339"/>
      <c r="AA954" s="339"/>
    </row>
    <row r="955" spans="1:27" s="303" customFormat="1" ht="14.25">
      <c r="A955" s="384"/>
      <c r="B955" s="384"/>
      <c r="C955" s="384"/>
      <c r="D955" s="384"/>
      <c r="E955" s="384"/>
      <c r="F955" s="384"/>
      <c r="G955" s="387"/>
      <c r="H955" s="549"/>
      <c r="I955" s="387"/>
      <c r="J955" s="550"/>
      <c r="K955" s="551"/>
      <c r="L955" s="551"/>
      <c r="M955" s="551"/>
      <c r="N955" s="387"/>
      <c r="O955" s="387"/>
      <c r="P955" s="551"/>
      <c r="Q955" s="394"/>
      <c r="R955" s="551"/>
      <c r="S955" s="395"/>
      <c r="T955" s="395"/>
      <c r="U955" s="395"/>
      <c r="V955" s="395"/>
      <c r="W955" s="395"/>
      <c r="X955" s="622"/>
      <c r="Y955" s="458"/>
      <c r="Z955" s="458"/>
      <c r="AA955" s="458"/>
    </row>
    <row r="956" spans="1:27" s="303" customFormat="1" ht="14.25">
      <c r="A956" s="384"/>
      <c r="B956" s="384"/>
      <c r="C956" s="384"/>
      <c r="D956" s="384"/>
      <c r="E956" s="384"/>
      <c r="F956" s="384"/>
      <c r="G956" s="388"/>
      <c r="H956" s="389"/>
      <c r="I956" s="388"/>
      <c r="J956" s="391"/>
      <c r="K956" s="392"/>
      <c r="L956" s="392"/>
      <c r="M956" s="392"/>
      <c r="N956" s="388"/>
      <c r="O956" s="388"/>
      <c r="P956" s="392"/>
      <c r="Q956" s="394"/>
      <c r="R956" s="392"/>
      <c r="S956" s="395"/>
      <c r="T956" s="396"/>
      <c r="U956" s="396"/>
      <c r="V956" s="396"/>
      <c r="W956" s="396"/>
      <c r="X956" s="397"/>
      <c r="Y956" s="339"/>
      <c r="Z956" s="339"/>
      <c r="AA956" s="339"/>
    </row>
    <row r="957" spans="1:27" s="303" customFormat="1" ht="14.25">
      <c r="A957" s="384"/>
      <c r="B957" s="384"/>
      <c r="C957" s="384"/>
      <c r="D957" s="384"/>
      <c r="E957" s="384"/>
      <c r="F957" s="384"/>
      <c r="G957" s="387"/>
      <c r="H957" s="549"/>
      <c r="I957" s="387"/>
      <c r="J957" s="550"/>
      <c r="K957" s="551"/>
      <c r="L957" s="551"/>
      <c r="M957" s="551"/>
      <c r="N957" s="387"/>
      <c r="O957" s="387"/>
      <c r="P957" s="551"/>
      <c r="Q957" s="394"/>
      <c r="R957" s="551"/>
      <c r="S957" s="395"/>
      <c r="T957" s="395"/>
      <c r="U957" s="395"/>
      <c r="V957" s="395"/>
      <c r="W957" s="395"/>
      <c r="X957" s="622"/>
      <c r="Y957" s="458"/>
      <c r="Z957" s="458"/>
      <c r="AA957" s="458"/>
    </row>
    <row r="958" spans="1:27" s="303" customFormat="1" ht="14.25">
      <c r="A958" s="384"/>
      <c r="B958" s="384"/>
      <c r="C958" s="384"/>
      <c r="D958" s="384"/>
      <c r="E958" s="384"/>
      <c r="F958" s="384"/>
      <c r="G958" s="388"/>
      <c r="H958" s="389"/>
      <c r="I958" s="388"/>
      <c r="J958" s="391"/>
      <c r="K958" s="392"/>
      <c r="L958" s="392"/>
      <c r="M958" s="392"/>
      <c r="N958" s="388"/>
      <c r="O958" s="388"/>
      <c r="P958" s="392"/>
      <c r="Q958" s="394"/>
      <c r="R958" s="392"/>
      <c r="S958" s="395"/>
      <c r="T958" s="396"/>
      <c r="U958" s="396"/>
      <c r="V958" s="396"/>
      <c r="W958" s="396"/>
      <c r="X958" s="397"/>
      <c r="Y958" s="339"/>
      <c r="Z958" s="339"/>
      <c r="AA958" s="339"/>
    </row>
    <row r="959" spans="1:27" s="303" customFormat="1" ht="14.25">
      <c r="A959" s="384"/>
      <c r="B959" s="384"/>
      <c r="C959" s="384"/>
      <c r="D959" s="384"/>
      <c r="E959" s="384"/>
      <c r="F959" s="384"/>
      <c r="G959" s="387"/>
      <c r="H959" s="549"/>
      <c r="I959" s="387"/>
      <c r="J959" s="550"/>
      <c r="K959" s="551"/>
      <c r="L959" s="551"/>
      <c r="M959" s="551"/>
      <c r="N959" s="387"/>
      <c r="O959" s="387"/>
      <c r="P959" s="551"/>
      <c r="Q959" s="394"/>
      <c r="R959" s="551"/>
      <c r="S959" s="395"/>
      <c r="T959" s="395"/>
      <c r="U959" s="395"/>
      <c r="V959" s="395"/>
      <c r="W959" s="395"/>
      <c r="X959" s="622"/>
      <c r="Y959" s="458"/>
      <c r="Z959" s="458"/>
      <c r="AA959" s="458"/>
    </row>
    <row r="960" spans="1:27" s="303" customFormat="1" ht="14.25">
      <c r="A960" s="384"/>
      <c r="B960" s="384"/>
      <c r="C960" s="384"/>
      <c r="D960" s="384"/>
      <c r="E960" s="384"/>
      <c r="F960" s="384"/>
      <c r="G960" s="388"/>
      <c r="H960" s="389"/>
      <c r="I960" s="388"/>
      <c r="J960" s="391"/>
      <c r="K960" s="392"/>
      <c r="L960" s="392"/>
      <c r="M960" s="392"/>
      <c r="N960" s="388"/>
      <c r="O960" s="388"/>
      <c r="P960" s="392"/>
      <c r="Q960" s="394"/>
      <c r="R960" s="392"/>
      <c r="S960" s="395"/>
      <c r="T960" s="396"/>
      <c r="U960" s="396"/>
      <c r="V960" s="396"/>
      <c r="W960" s="396"/>
      <c r="X960" s="397"/>
      <c r="Y960" s="339"/>
      <c r="Z960" s="339"/>
      <c r="AA960" s="339"/>
    </row>
    <row r="961" spans="1:27" s="303" customFormat="1" ht="14.25">
      <c r="A961" s="384"/>
      <c r="B961" s="384"/>
      <c r="C961" s="384"/>
      <c r="D961" s="384"/>
      <c r="E961" s="384"/>
      <c r="F961" s="384"/>
      <c r="G961" s="387"/>
      <c r="H961" s="549"/>
      <c r="I961" s="387"/>
      <c r="J961" s="550"/>
      <c r="K961" s="551"/>
      <c r="L961" s="551"/>
      <c r="M961" s="551"/>
      <c r="N961" s="387"/>
      <c r="O961" s="387"/>
      <c r="P961" s="551"/>
      <c r="Q961" s="394"/>
      <c r="R961" s="551"/>
      <c r="S961" s="395"/>
      <c r="T961" s="395"/>
      <c r="U961" s="395"/>
      <c r="V961" s="395"/>
      <c r="W961" s="395"/>
      <c r="X961" s="622"/>
      <c r="Y961" s="458"/>
      <c r="Z961" s="458"/>
      <c r="AA961" s="458"/>
    </row>
    <row r="962" spans="1:27" s="303" customFormat="1" ht="14.25">
      <c r="A962" s="384"/>
      <c r="B962" s="384"/>
      <c r="C962" s="384"/>
      <c r="D962" s="384"/>
      <c r="E962" s="384"/>
      <c r="F962" s="384"/>
      <c r="G962" s="388"/>
      <c r="H962" s="389"/>
      <c r="I962" s="388"/>
      <c r="J962" s="391"/>
      <c r="K962" s="392"/>
      <c r="L962" s="392"/>
      <c r="M962" s="392"/>
      <c r="N962" s="388"/>
      <c r="O962" s="388"/>
      <c r="P962" s="392"/>
      <c r="Q962" s="394"/>
      <c r="R962" s="392"/>
      <c r="S962" s="395"/>
      <c r="T962" s="396"/>
      <c r="U962" s="396"/>
      <c r="V962" s="396"/>
      <c r="W962" s="396"/>
      <c r="X962" s="397"/>
      <c r="Y962" s="339"/>
      <c r="Z962" s="339"/>
      <c r="AA962" s="339"/>
    </row>
    <row r="963" spans="1:27" s="303" customFormat="1" ht="14.25">
      <c r="A963" s="384"/>
      <c r="B963" s="384"/>
      <c r="C963" s="384"/>
      <c r="D963" s="384"/>
      <c r="E963" s="384"/>
      <c r="F963" s="384"/>
      <c r="G963" s="387"/>
      <c r="H963" s="549"/>
      <c r="I963" s="387"/>
      <c r="J963" s="550"/>
      <c r="K963" s="551"/>
      <c r="L963" s="551"/>
      <c r="M963" s="551"/>
      <c r="N963" s="387"/>
      <c r="O963" s="387"/>
      <c r="P963" s="551"/>
      <c r="Q963" s="394"/>
      <c r="R963" s="551"/>
      <c r="S963" s="395"/>
      <c r="T963" s="395"/>
      <c r="U963" s="395"/>
      <c r="V963" s="395"/>
      <c r="W963" s="395"/>
      <c r="X963" s="622"/>
      <c r="Y963" s="458"/>
      <c r="Z963" s="458"/>
      <c r="AA963" s="458"/>
    </row>
    <row r="964" spans="1:27" s="303" customFormat="1" ht="14.25">
      <c r="A964" s="384"/>
      <c r="B964" s="384"/>
      <c r="C964" s="384"/>
      <c r="D964" s="384"/>
      <c r="E964" s="384"/>
      <c r="F964" s="384"/>
      <c r="G964" s="388"/>
      <c r="H964" s="389"/>
      <c r="I964" s="388"/>
      <c r="J964" s="391"/>
      <c r="K964" s="392"/>
      <c r="L964" s="392"/>
      <c r="M964" s="392"/>
      <c r="N964" s="388"/>
      <c r="O964" s="388"/>
      <c r="P964" s="392"/>
      <c r="Q964" s="394"/>
      <c r="R964" s="392"/>
      <c r="S964" s="395"/>
      <c r="T964" s="396"/>
      <c r="U964" s="396"/>
      <c r="V964" s="396"/>
      <c r="W964" s="396"/>
      <c r="X964" s="397"/>
      <c r="Y964" s="339"/>
      <c r="Z964" s="339"/>
      <c r="AA964" s="339"/>
    </row>
    <row r="965" spans="1:27" s="303" customFormat="1" ht="14.25">
      <c r="A965" s="384"/>
      <c r="B965" s="384"/>
      <c r="C965" s="384"/>
      <c r="D965" s="384"/>
      <c r="E965" s="384"/>
      <c r="F965" s="384"/>
      <c r="G965" s="387"/>
      <c r="H965" s="549"/>
      <c r="I965" s="387"/>
      <c r="J965" s="550"/>
      <c r="K965" s="551"/>
      <c r="L965" s="551"/>
      <c r="M965" s="551"/>
      <c r="N965" s="387"/>
      <c r="O965" s="387"/>
      <c r="P965" s="551"/>
      <c r="Q965" s="394"/>
      <c r="R965" s="551"/>
      <c r="S965" s="395"/>
      <c r="T965" s="395"/>
      <c r="U965" s="395"/>
      <c r="V965" s="395"/>
      <c r="W965" s="395"/>
      <c r="X965" s="622"/>
      <c r="Y965" s="458"/>
      <c r="Z965" s="458"/>
      <c r="AA965" s="458"/>
    </row>
    <row r="966" spans="1:27" s="303" customFormat="1" ht="14.25">
      <c r="A966" s="384"/>
      <c r="B966" s="384"/>
      <c r="C966" s="384"/>
      <c r="D966" s="384"/>
      <c r="E966" s="384"/>
      <c r="F966" s="384"/>
      <c r="G966" s="388"/>
      <c r="H966" s="389"/>
      <c r="I966" s="388"/>
      <c r="J966" s="391"/>
      <c r="K966" s="392"/>
      <c r="L966" s="392"/>
      <c r="M966" s="392"/>
      <c r="N966" s="388"/>
      <c r="O966" s="388"/>
      <c r="P966" s="392"/>
      <c r="Q966" s="394"/>
      <c r="R966" s="392"/>
      <c r="S966" s="395"/>
      <c r="T966" s="396"/>
      <c r="U966" s="396"/>
      <c r="V966" s="396"/>
      <c r="W966" s="396"/>
      <c r="X966" s="397"/>
      <c r="Y966" s="339"/>
      <c r="Z966" s="339"/>
      <c r="AA966" s="339"/>
    </row>
    <row r="967" spans="1:27" s="303" customFormat="1" ht="14.25">
      <c r="A967" s="384"/>
      <c r="B967" s="384"/>
      <c r="C967" s="384"/>
      <c r="D967" s="384"/>
      <c r="E967" s="384"/>
      <c r="F967" s="384"/>
      <c r="G967" s="387"/>
      <c r="H967" s="549"/>
      <c r="I967" s="387"/>
      <c r="J967" s="550"/>
      <c r="K967" s="551"/>
      <c r="L967" s="551"/>
      <c r="M967" s="551"/>
      <c r="N967" s="387"/>
      <c r="O967" s="387"/>
      <c r="P967" s="551"/>
      <c r="Q967" s="394"/>
      <c r="R967" s="551"/>
      <c r="S967" s="395"/>
      <c r="T967" s="395"/>
      <c r="U967" s="395"/>
      <c r="V967" s="395"/>
      <c r="W967" s="395"/>
      <c r="X967" s="622"/>
      <c r="Y967" s="458"/>
      <c r="Z967" s="458"/>
      <c r="AA967" s="458"/>
    </row>
    <row r="968" spans="1:27" s="303" customFormat="1" ht="14.25">
      <c r="A968" s="384"/>
      <c r="B968" s="384"/>
      <c r="C968" s="384"/>
      <c r="D968" s="384"/>
      <c r="E968" s="384"/>
      <c r="F968" s="384"/>
      <c r="G968" s="388"/>
      <c r="H968" s="389"/>
      <c r="I968" s="388"/>
      <c r="J968" s="391"/>
      <c r="K968" s="392"/>
      <c r="L968" s="392"/>
      <c r="M968" s="392"/>
      <c r="N968" s="388"/>
      <c r="O968" s="388"/>
      <c r="P968" s="392"/>
      <c r="Q968" s="394"/>
      <c r="R968" s="392"/>
      <c r="S968" s="395"/>
      <c r="T968" s="396"/>
      <c r="U968" s="396"/>
      <c r="V968" s="396"/>
      <c r="W968" s="396"/>
      <c r="X968" s="397"/>
      <c r="Y968" s="339"/>
      <c r="Z968" s="339"/>
      <c r="AA968" s="339"/>
    </row>
    <row r="969" spans="1:27" s="303" customFormat="1" ht="14.25">
      <c r="A969" s="384"/>
      <c r="B969" s="384"/>
      <c r="C969" s="384"/>
      <c r="D969" s="384"/>
      <c r="E969" s="384"/>
      <c r="F969" s="384"/>
      <c r="G969" s="387"/>
      <c r="H969" s="549"/>
      <c r="I969" s="387"/>
      <c r="J969" s="550"/>
      <c r="K969" s="551"/>
      <c r="L969" s="551"/>
      <c r="M969" s="551"/>
      <c r="N969" s="387"/>
      <c r="O969" s="387"/>
      <c r="P969" s="551"/>
      <c r="Q969" s="394"/>
      <c r="R969" s="551"/>
      <c r="S969" s="395"/>
      <c r="T969" s="395"/>
      <c r="U969" s="395"/>
      <c r="V969" s="395"/>
      <c r="W969" s="395"/>
      <c r="X969" s="622"/>
      <c r="Y969" s="458"/>
      <c r="Z969" s="458"/>
      <c r="AA969" s="458"/>
    </row>
    <row r="970" spans="1:27" s="303" customFormat="1" ht="14.25">
      <c r="A970" s="384"/>
      <c r="B970" s="384"/>
      <c r="C970" s="384"/>
      <c r="D970" s="384"/>
      <c r="E970" s="384"/>
      <c r="F970" s="384"/>
      <c r="G970" s="388"/>
      <c r="H970" s="389"/>
      <c r="I970" s="388"/>
      <c r="J970" s="391"/>
      <c r="K970" s="392"/>
      <c r="L970" s="392"/>
      <c r="M970" s="392"/>
      <c r="N970" s="388"/>
      <c r="O970" s="388"/>
      <c r="P970" s="392"/>
      <c r="Q970" s="394"/>
      <c r="R970" s="392"/>
      <c r="S970" s="395"/>
      <c r="T970" s="396"/>
      <c r="U970" s="396"/>
      <c r="V970" s="396"/>
      <c r="W970" s="396"/>
      <c r="X970" s="397"/>
      <c r="Y970" s="339"/>
      <c r="Z970" s="339"/>
      <c r="AA970" s="339"/>
    </row>
    <row r="971" spans="1:27" s="303" customFormat="1" ht="14.25">
      <c r="A971" s="384"/>
      <c r="B971" s="384"/>
      <c r="C971" s="384"/>
      <c r="D971" s="384"/>
      <c r="E971" s="384"/>
      <c r="F971" s="384"/>
      <c r="G971" s="387"/>
      <c r="H971" s="549"/>
      <c r="I971" s="387"/>
      <c r="J971" s="550"/>
      <c r="K971" s="551"/>
      <c r="L971" s="551"/>
      <c r="M971" s="551"/>
      <c r="N971" s="387"/>
      <c r="O971" s="387"/>
      <c r="P971" s="551"/>
      <c r="Q971" s="394"/>
      <c r="R971" s="551"/>
      <c r="S971" s="395"/>
      <c r="T971" s="395"/>
      <c r="U971" s="395"/>
      <c r="V971" s="395"/>
      <c r="W971" s="395"/>
      <c r="X971" s="622"/>
      <c r="Y971" s="458"/>
      <c r="Z971" s="458"/>
      <c r="AA971" s="458"/>
    </row>
    <row r="972" spans="1:27" s="303" customFormat="1" ht="14.25">
      <c r="A972" s="384"/>
      <c r="B972" s="384"/>
      <c r="C972" s="384"/>
      <c r="D972" s="384"/>
      <c r="E972" s="384"/>
      <c r="F972" s="384"/>
      <c r="G972" s="388"/>
      <c r="H972" s="389"/>
      <c r="I972" s="388"/>
      <c r="J972" s="391"/>
      <c r="K972" s="392"/>
      <c r="L972" s="392"/>
      <c r="M972" s="392"/>
      <c r="N972" s="388"/>
      <c r="O972" s="388"/>
      <c r="P972" s="392"/>
      <c r="Q972" s="394"/>
      <c r="R972" s="392"/>
      <c r="S972" s="395"/>
      <c r="T972" s="396"/>
      <c r="U972" s="396"/>
      <c r="V972" s="396"/>
      <c r="W972" s="396"/>
      <c r="X972" s="397"/>
      <c r="Y972" s="339"/>
      <c r="Z972" s="339"/>
      <c r="AA972" s="339"/>
    </row>
    <row r="973" spans="1:27" s="303" customFormat="1" ht="14.25">
      <c r="A973" s="384"/>
      <c r="B973" s="384"/>
      <c r="C973" s="384"/>
      <c r="D973" s="384"/>
      <c r="E973" s="384"/>
      <c r="F973" s="384"/>
      <c r="G973" s="387"/>
      <c r="H973" s="549"/>
      <c r="I973" s="387"/>
      <c r="J973" s="550"/>
      <c r="K973" s="551"/>
      <c r="L973" s="551"/>
      <c r="M973" s="551"/>
      <c r="N973" s="387"/>
      <c r="O973" s="387"/>
      <c r="P973" s="551"/>
      <c r="Q973" s="394"/>
      <c r="R973" s="551"/>
      <c r="S973" s="395"/>
      <c r="T973" s="395"/>
      <c r="U973" s="395"/>
      <c r="V973" s="395"/>
      <c r="W973" s="395"/>
      <c r="X973" s="622"/>
      <c r="Y973" s="458"/>
      <c r="Z973" s="458"/>
      <c r="AA973" s="458"/>
    </row>
    <row r="974" spans="1:27" s="303" customFormat="1" ht="14.25">
      <c r="A974" s="384"/>
      <c r="B974" s="384"/>
      <c r="C974" s="384"/>
      <c r="D974" s="384"/>
      <c r="E974" s="384"/>
      <c r="F974" s="384"/>
      <c r="G974" s="388"/>
      <c r="H974" s="389"/>
      <c r="I974" s="388"/>
      <c r="J974" s="391"/>
      <c r="K974" s="392"/>
      <c r="L974" s="392"/>
      <c r="M974" s="392"/>
      <c r="N974" s="388"/>
      <c r="O974" s="388"/>
      <c r="P974" s="392"/>
      <c r="Q974" s="394"/>
      <c r="R974" s="392"/>
      <c r="S974" s="395"/>
      <c r="T974" s="396"/>
      <c r="U974" s="396"/>
      <c r="V974" s="396"/>
      <c r="W974" s="396"/>
      <c r="X974" s="397"/>
      <c r="Y974" s="339"/>
      <c r="Z974" s="339"/>
      <c r="AA974" s="339"/>
    </row>
    <row r="975" spans="1:27" s="303" customFormat="1" ht="14.25">
      <c r="A975" s="384"/>
      <c r="B975" s="384"/>
      <c r="C975" s="384"/>
      <c r="D975" s="384"/>
      <c r="E975" s="384"/>
      <c r="F975" s="384"/>
      <c r="G975" s="387"/>
      <c r="H975" s="549"/>
      <c r="I975" s="387"/>
      <c r="J975" s="550"/>
      <c r="K975" s="551"/>
      <c r="L975" s="551"/>
      <c r="M975" s="551"/>
      <c r="N975" s="387"/>
      <c r="O975" s="387"/>
      <c r="P975" s="551"/>
      <c r="Q975" s="394"/>
      <c r="R975" s="551"/>
      <c r="S975" s="395"/>
      <c r="T975" s="395"/>
      <c r="U975" s="395"/>
      <c r="V975" s="395"/>
      <c r="W975" s="395"/>
      <c r="X975" s="622"/>
      <c r="Y975" s="458"/>
      <c r="Z975" s="458"/>
      <c r="AA975" s="458"/>
    </row>
    <row r="976" spans="1:27" s="303" customFormat="1" ht="14.25">
      <c r="A976" s="384"/>
      <c r="B976" s="384"/>
      <c r="C976" s="384"/>
      <c r="D976" s="384"/>
      <c r="E976" s="384"/>
      <c r="F976" s="384"/>
      <c r="G976" s="388"/>
      <c r="H976" s="389"/>
      <c r="I976" s="388"/>
      <c r="J976" s="391"/>
      <c r="K976" s="392"/>
      <c r="L976" s="392"/>
      <c r="M976" s="392"/>
      <c r="N976" s="388"/>
      <c r="O976" s="388"/>
      <c r="P976" s="392"/>
      <c r="Q976" s="394"/>
      <c r="R976" s="392"/>
      <c r="S976" s="395"/>
      <c r="T976" s="396"/>
      <c r="U976" s="396"/>
      <c r="V976" s="396"/>
      <c r="W976" s="396"/>
      <c r="X976" s="397"/>
      <c r="Y976" s="339"/>
      <c r="Z976" s="339"/>
      <c r="AA976" s="339"/>
    </row>
    <row r="977" spans="1:27" s="303" customFormat="1" ht="14.25">
      <c r="A977" s="384"/>
      <c r="B977" s="384"/>
      <c r="C977" s="384"/>
      <c r="D977" s="384"/>
      <c r="E977" s="384"/>
      <c r="F977" s="384"/>
      <c r="G977" s="387"/>
      <c r="H977" s="549"/>
      <c r="I977" s="387"/>
      <c r="J977" s="550"/>
      <c r="K977" s="551"/>
      <c r="L977" s="551"/>
      <c r="M977" s="551"/>
      <c r="N977" s="387"/>
      <c r="O977" s="387"/>
      <c r="P977" s="551"/>
      <c r="Q977" s="394"/>
      <c r="R977" s="551"/>
      <c r="S977" s="395"/>
      <c r="T977" s="395"/>
      <c r="U977" s="395"/>
      <c r="V977" s="395"/>
      <c r="W977" s="395"/>
      <c r="X977" s="622"/>
      <c r="Y977" s="458"/>
      <c r="Z977" s="458"/>
      <c r="AA977" s="458"/>
    </row>
    <row r="978" spans="1:27" s="303" customFormat="1" ht="14.25">
      <c r="A978" s="384"/>
      <c r="B978" s="384"/>
      <c r="C978" s="384"/>
      <c r="D978" s="384"/>
      <c r="E978" s="384"/>
      <c r="F978" s="384"/>
      <c r="G978" s="388"/>
      <c r="H978" s="389"/>
      <c r="I978" s="388"/>
      <c r="J978" s="391"/>
      <c r="K978" s="392"/>
      <c r="L978" s="392"/>
      <c r="M978" s="392"/>
      <c r="N978" s="388"/>
      <c r="O978" s="388"/>
      <c r="P978" s="392"/>
      <c r="Q978" s="394"/>
      <c r="R978" s="392"/>
      <c r="S978" s="395"/>
      <c r="T978" s="396"/>
      <c r="U978" s="396"/>
      <c r="V978" s="396"/>
      <c r="W978" s="396"/>
      <c r="X978" s="397"/>
      <c r="Y978" s="339"/>
      <c r="Z978" s="339"/>
      <c r="AA978" s="339"/>
    </row>
    <row r="979" spans="1:27" s="303" customFormat="1" ht="14.25">
      <c r="A979" s="384"/>
      <c r="B979" s="384"/>
      <c r="C979" s="384"/>
      <c r="D979" s="384"/>
      <c r="E979" s="384"/>
      <c r="F979" s="384"/>
      <c r="G979" s="387"/>
      <c r="H979" s="549"/>
      <c r="I979" s="387"/>
      <c r="J979" s="550"/>
      <c r="K979" s="551"/>
      <c r="L979" s="551"/>
      <c r="M979" s="551"/>
      <c r="N979" s="387"/>
      <c r="O979" s="387"/>
      <c r="P979" s="551"/>
      <c r="Q979" s="394"/>
      <c r="R979" s="551"/>
      <c r="S979" s="395"/>
      <c r="T979" s="395"/>
      <c r="U979" s="395"/>
      <c r="V979" s="395"/>
      <c r="W979" s="395"/>
      <c r="X979" s="622"/>
      <c r="Y979" s="458"/>
      <c r="Z979" s="458"/>
      <c r="AA979" s="458"/>
    </row>
    <row r="980" spans="1:27" s="303" customFormat="1" ht="14.25">
      <c r="A980" s="384"/>
      <c r="B980" s="384"/>
      <c r="C980" s="384"/>
      <c r="D980" s="384"/>
      <c r="E980" s="384"/>
      <c r="F980" s="384"/>
      <c r="G980" s="388"/>
      <c r="H980" s="389"/>
      <c r="I980" s="388"/>
      <c r="J980" s="391"/>
      <c r="K980" s="392"/>
      <c r="L980" s="392"/>
      <c r="M980" s="392"/>
      <c r="N980" s="388"/>
      <c r="O980" s="388"/>
      <c r="P980" s="392"/>
      <c r="Q980" s="394"/>
      <c r="R980" s="392"/>
      <c r="S980" s="395"/>
      <c r="T980" s="396"/>
      <c r="U980" s="396"/>
      <c r="V980" s="396"/>
      <c r="W980" s="396"/>
      <c r="X980" s="397"/>
      <c r="Y980" s="339"/>
      <c r="Z980" s="339"/>
      <c r="AA980" s="339"/>
    </row>
    <row r="981" spans="1:27" s="303" customFormat="1" ht="14.25">
      <c r="A981" s="384"/>
      <c r="B981" s="384"/>
      <c r="C981" s="384"/>
      <c r="D981" s="384"/>
      <c r="E981" s="384"/>
      <c r="F981" s="384"/>
      <c r="G981" s="387"/>
      <c r="H981" s="549"/>
      <c r="I981" s="387"/>
      <c r="J981" s="550"/>
      <c r="K981" s="551"/>
      <c r="L981" s="551"/>
      <c r="M981" s="551"/>
      <c r="N981" s="387"/>
      <c r="O981" s="387"/>
      <c r="P981" s="551"/>
      <c r="Q981" s="394"/>
      <c r="R981" s="551"/>
      <c r="S981" s="395"/>
      <c r="T981" s="395"/>
      <c r="U981" s="395"/>
      <c r="V981" s="395"/>
      <c r="W981" s="395"/>
      <c r="X981" s="622"/>
      <c r="Y981" s="458"/>
      <c r="Z981" s="458"/>
      <c r="AA981" s="458"/>
    </row>
    <row r="982" spans="1:27" s="303" customFormat="1" ht="14.25">
      <c r="A982" s="384"/>
      <c r="B982" s="384"/>
      <c r="C982" s="384"/>
      <c r="D982" s="384"/>
      <c r="E982" s="384"/>
      <c r="F982" s="384"/>
      <c r="G982" s="388"/>
      <c r="H982" s="389"/>
      <c r="I982" s="388"/>
      <c r="J982" s="391"/>
      <c r="K982" s="392"/>
      <c r="L982" s="392"/>
      <c r="M982" s="392"/>
      <c r="N982" s="388"/>
      <c r="O982" s="388"/>
      <c r="P982" s="392"/>
      <c r="Q982" s="394"/>
      <c r="R982" s="392"/>
      <c r="S982" s="395"/>
      <c r="T982" s="396"/>
      <c r="U982" s="396"/>
      <c r="V982" s="396"/>
      <c r="W982" s="396"/>
      <c r="X982" s="397"/>
      <c r="Y982" s="339"/>
      <c r="Z982" s="339"/>
      <c r="AA982" s="339"/>
    </row>
    <row r="983" spans="1:27" s="303" customFormat="1" ht="14.25">
      <c r="A983" s="384"/>
      <c r="B983" s="384"/>
      <c r="C983" s="384"/>
      <c r="D983" s="384"/>
      <c r="E983" s="384"/>
      <c r="F983" s="384"/>
      <c r="G983" s="387"/>
      <c r="H983" s="549"/>
      <c r="I983" s="387"/>
      <c r="J983" s="550"/>
      <c r="K983" s="551"/>
      <c r="L983" s="551"/>
      <c r="M983" s="551"/>
      <c r="N983" s="387"/>
      <c r="O983" s="387"/>
      <c r="P983" s="551"/>
      <c r="Q983" s="394"/>
      <c r="R983" s="551"/>
      <c r="S983" s="395"/>
      <c r="T983" s="395"/>
      <c r="U983" s="395"/>
      <c r="V983" s="395"/>
      <c r="W983" s="395"/>
      <c r="X983" s="622"/>
      <c r="Y983" s="458"/>
      <c r="Z983" s="458"/>
      <c r="AA983" s="458"/>
    </row>
    <row r="984" spans="1:27" s="303" customFormat="1" ht="14.25">
      <c r="A984" s="384"/>
      <c r="B984" s="384"/>
      <c r="C984" s="384"/>
      <c r="D984" s="384"/>
      <c r="E984" s="384"/>
      <c r="F984" s="384"/>
      <c r="G984" s="388"/>
      <c r="H984" s="389"/>
      <c r="I984" s="388"/>
      <c r="J984" s="391"/>
      <c r="K984" s="392"/>
      <c r="L984" s="392"/>
      <c r="M984" s="392"/>
      <c r="N984" s="388"/>
      <c r="O984" s="388"/>
      <c r="P984" s="392"/>
      <c r="Q984" s="394"/>
      <c r="R984" s="392"/>
      <c r="S984" s="395"/>
      <c r="T984" s="396"/>
      <c r="U984" s="396"/>
      <c r="V984" s="396"/>
      <c r="W984" s="396"/>
      <c r="X984" s="397"/>
      <c r="Y984" s="339"/>
      <c r="Z984" s="339"/>
      <c r="AA984" s="339"/>
    </row>
    <row r="985" spans="1:27" s="303" customFormat="1" ht="14.25">
      <c r="A985" s="384"/>
      <c r="B985" s="384"/>
      <c r="C985" s="384"/>
      <c r="D985" s="384"/>
      <c r="E985" s="384"/>
      <c r="F985" s="384"/>
      <c r="G985" s="387"/>
      <c r="H985" s="549"/>
      <c r="I985" s="387"/>
      <c r="J985" s="550"/>
      <c r="K985" s="551"/>
      <c r="L985" s="551"/>
      <c r="M985" s="551"/>
      <c r="N985" s="387"/>
      <c r="O985" s="387"/>
      <c r="P985" s="551"/>
      <c r="Q985" s="394"/>
      <c r="R985" s="551"/>
      <c r="S985" s="395"/>
      <c r="T985" s="395"/>
      <c r="U985" s="395"/>
      <c r="V985" s="395"/>
      <c r="W985" s="395"/>
      <c r="X985" s="622"/>
      <c r="Y985" s="458"/>
      <c r="Z985" s="458"/>
      <c r="AA985" s="458"/>
    </row>
    <row r="986" spans="1:27" s="303" customFormat="1" ht="14.25">
      <c r="A986" s="384"/>
      <c r="B986" s="384"/>
      <c r="C986" s="384"/>
      <c r="D986" s="384"/>
      <c r="E986" s="384"/>
      <c r="F986" s="384"/>
      <c r="G986" s="388"/>
      <c r="H986" s="389"/>
      <c r="I986" s="388"/>
      <c r="J986" s="391"/>
      <c r="K986" s="392"/>
      <c r="L986" s="392"/>
      <c r="M986" s="392"/>
      <c r="N986" s="388"/>
      <c r="O986" s="388"/>
      <c r="P986" s="392"/>
      <c r="Q986" s="394"/>
      <c r="R986" s="392"/>
      <c r="S986" s="395"/>
      <c r="T986" s="396"/>
      <c r="U986" s="396"/>
      <c r="V986" s="396"/>
      <c r="W986" s="396"/>
      <c r="X986" s="397"/>
      <c r="Y986" s="339"/>
      <c r="Z986" s="339"/>
      <c r="AA986" s="339"/>
    </row>
    <row r="987" spans="1:27" s="303" customFormat="1" ht="14.25">
      <c r="A987" s="384"/>
      <c r="B987" s="384"/>
      <c r="C987" s="384"/>
      <c r="D987" s="384"/>
      <c r="E987" s="384"/>
      <c r="F987" s="384"/>
      <c r="G987" s="387"/>
      <c r="H987" s="549"/>
      <c r="I987" s="387"/>
      <c r="J987" s="550"/>
      <c r="K987" s="551"/>
      <c r="L987" s="551"/>
      <c r="M987" s="551"/>
      <c r="N987" s="387"/>
      <c r="O987" s="387"/>
      <c r="P987" s="551"/>
      <c r="Q987" s="394"/>
      <c r="R987" s="551"/>
      <c r="S987" s="395"/>
      <c r="T987" s="395"/>
      <c r="U987" s="395"/>
      <c r="V987" s="395"/>
      <c r="W987" s="395"/>
      <c r="X987" s="622"/>
      <c r="Y987" s="458"/>
      <c r="Z987" s="458"/>
      <c r="AA987" s="458"/>
    </row>
    <row r="988" spans="1:27" s="303" customFormat="1" ht="14.25">
      <c r="A988" s="384"/>
      <c r="B988" s="384"/>
      <c r="C988" s="384"/>
      <c r="D988" s="384"/>
      <c r="E988" s="384"/>
      <c r="F988" s="384"/>
      <c r="G988" s="388"/>
      <c r="H988" s="389"/>
      <c r="I988" s="388"/>
      <c r="J988" s="391"/>
      <c r="K988" s="392"/>
      <c r="L988" s="392"/>
      <c r="M988" s="392"/>
      <c r="N988" s="388"/>
      <c r="O988" s="388"/>
      <c r="P988" s="392"/>
      <c r="Q988" s="394"/>
      <c r="R988" s="392"/>
      <c r="S988" s="395"/>
      <c r="T988" s="396"/>
      <c r="U988" s="396"/>
      <c r="V988" s="396"/>
      <c r="W988" s="396"/>
      <c r="X988" s="397"/>
      <c r="Y988" s="339"/>
      <c r="Z988" s="339"/>
      <c r="AA988" s="339"/>
    </row>
    <row r="989" spans="1:27" s="303" customFormat="1" ht="14.25">
      <c r="A989" s="384"/>
      <c r="B989" s="384"/>
      <c r="C989" s="384"/>
      <c r="D989" s="384"/>
      <c r="E989" s="384"/>
      <c r="F989" s="384"/>
      <c r="G989" s="387"/>
      <c r="H989" s="549"/>
      <c r="I989" s="387"/>
      <c r="J989" s="550"/>
      <c r="K989" s="551"/>
      <c r="L989" s="551"/>
      <c r="M989" s="551"/>
      <c r="N989" s="387"/>
      <c r="O989" s="387"/>
      <c r="P989" s="551"/>
      <c r="Q989" s="394"/>
      <c r="R989" s="551"/>
      <c r="S989" s="395"/>
      <c r="T989" s="395"/>
      <c r="U989" s="395"/>
      <c r="V989" s="395"/>
      <c r="W989" s="395"/>
      <c r="X989" s="622"/>
      <c r="Y989" s="458"/>
      <c r="Z989" s="458"/>
      <c r="AA989" s="458"/>
    </row>
    <row r="990" spans="1:27" s="303" customFormat="1" ht="14.25">
      <c r="A990" s="384"/>
      <c r="B990" s="384"/>
      <c r="C990" s="384"/>
      <c r="D990" s="384"/>
      <c r="E990" s="384"/>
      <c r="F990" s="384"/>
      <c r="G990" s="388"/>
      <c r="H990" s="389"/>
      <c r="I990" s="388"/>
      <c r="J990" s="391"/>
      <c r="K990" s="392"/>
      <c r="L990" s="392"/>
      <c r="M990" s="392"/>
      <c r="N990" s="388"/>
      <c r="O990" s="388"/>
      <c r="P990" s="392"/>
      <c r="Q990" s="394"/>
      <c r="R990" s="392"/>
      <c r="S990" s="395"/>
      <c r="T990" s="396"/>
      <c r="U990" s="396"/>
      <c r="V990" s="396"/>
      <c r="W990" s="396"/>
      <c r="X990" s="397"/>
      <c r="Y990" s="339"/>
      <c r="Z990" s="339"/>
      <c r="AA990" s="339"/>
    </row>
    <row r="991" spans="1:27" s="303" customFormat="1" ht="14.25">
      <c r="A991" s="384"/>
      <c r="B991" s="384"/>
      <c r="C991" s="384"/>
      <c r="D991" s="384"/>
      <c r="E991" s="384"/>
      <c r="F991" s="384"/>
      <c r="G991" s="387"/>
      <c r="H991" s="549"/>
      <c r="I991" s="387"/>
      <c r="J991" s="550"/>
      <c r="K991" s="551"/>
      <c r="L991" s="551"/>
      <c r="M991" s="551"/>
      <c r="N991" s="387"/>
      <c r="O991" s="387"/>
      <c r="P991" s="551"/>
      <c r="Q991" s="394"/>
      <c r="R991" s="551"/>
      <c r="S991" s="395"/>
      <c r="T991" s="395"/>
      <c r="U991" s="395"/>
      <c r="V991" s="395"/>
      <c r="W991" s="395"/>
      <c r="X991" s="622"/>
      <c r="Y991" s="458"/>
      <c r="Z991" s="458"/>
      <c r="AA991" s="458"/>
    </row>
    <row r="992" spans="1:27" s="303" customFormat="1" ht="14.25">
      <c r="A992" s="384"/>
      <c r="B992" s="384"/>
      <c r="C992" s="384"/>
      <c r="D992" s="384"/>
      <c r="E992" s="384"/>
      <c r="F992" s="384"/>
      <c r="G992" s="388"/>
      <c r="H992" s="389"/>
      <c r="I992" s="388"/>
      <c r="J992" s="391"/>
      <c r="K992" s="392"/>
      <c r="L992" s="392"/>
      <c r="M992" s="392"/>
      <c r="N992" s="388"/>
      <c r="O992" s="388"/>
      <c r="P992" s="392"/>
      <c r="Q992" s="394"/>
      <c r="R992" s="392"/>
      <c r="S992" s="395"/>
      <c r="T992" s="396"/>
      <c r="U992" s="396"/>
      <c r="V992" s="396"/>
      <c r="W992" s="396"/>
      <c r="X992" s="397"/>
      <c r="Y992" s="339"/>
      <c r="Z992" s="339"/>
      <c r="AA992" s="339"/>
    </row>
    <row r="993" spans="1:27" s="303" customFormat="1" ht="14.25">
      <c r="A993" s="384"/>
      <c r="B993" s="384"/>
      <c r="C993" s="384"/>
      <c r="D993" s="384"/>
      <c r="E993" s="384"/>
      <c r="F993" s="384"/>
      <c r="G993" s="387"/>
      <c r="H993" s="549"/>
      <c r="I993" s="387"/>
      <c r="J993" s="550"/>
      <c r="K993" s="551"/>
      <c r="L993" s="551"/>
      <c r="M993" s="551"/>
      <c r="N993" s="387"/>
      <c r="O993" s="387"/>
      <c r="P993" s="551"/>
      <c r="Q993" s="394"/>
      <c r="R993" s="551"/>
      <c r="S993" s="395"/>
      <c r="T993" s="395"/>
      <c r="U993" s="395"/>
      <c r="V993" s="395"/>
      <c r="W993" s="395"/>
      <c r="X993" s="622"/>
      <c r="Y993" s="458"/>
      <c r="Z993" s="458"/>
      <c r="AA993" s="458"/>
    </row>
    <row r="994" spans="1:27" s="303" customFormat="1" ht="14.25">
      <c r="A994" s="384"/>
      <c r="B994" s="384"/>
      <c r="C994" s="384"/>
      <c r="D994" s="384"/>
      <c r="E994" s="384"/>
      <c r="F994" s="384"/>
      <c r="G994" s="388"/>
      <c r="H994" s="389"/>
      <c r="I994" s="388"/>
      <c r="J994" s="391"/>
      <c r="K994" s="392"/>
      <c r="L994" s="392"/>
      <c r="M994" s="392"/>
      <c r="N994" s="388"/>
      <c r="O994" s="388"/>
      <c r="P994" s="392"/>
      <c r="Q994" s="394"/>
      <c r="R994" s="392"/>
      <c r="S994" s="395"/>
      <c r="T994" s="396"/>
      <c r="U994" s="396"/>
      <c r="V994" s="396"/>
      <c r="W994" s="396"/>
      <c r="X994" s="397"/>
      <c r="Y994" s="339"/>
      <c r="Z994" s="339"/>
      <c r="AA994" s="339"/>
    </row>
    <row r="995" spans="1:27" s="303" customFormat="1" ht="14.25">
      <c r="A995" s="384"/>
      <c r="B995" s="384"/>
      <c r="C995" s="384"/>
      <c r="D995" s="384"/>
      <c r="E995" s="384"/>
      <c r="F995" s="384"/>
      <c r="G995" s="387"/>
      <c r="H995" s="549"/>
      <c r="I995" s="387"/>
      <c r="J995" s="550"/>
      <c r="K995" s="551"/>
      <c r="L995" s="551"/>
      <c r="M995" s="551"/>
      <c r="N995" s="387"/>
      <c r="O995" s="387"/>
      <c r="P995" s="551"/>
      <c r="Q995" s="394"/>
      <c r="R995" s="551"/>
      <c r="S995" s="395"/>
      <c r="T995" s="395"/>
      <c r="U995" s="395"/>
      <c r="V995" s="395"/>
      <c r="W995" s="395"/>
      <c r="X995" s="622"/>
      <c r="Y995" s="458"/>
      <c r="Z995" s="458"/>
      <c r="AA995" s="458"/>
    </row>
    <row r="996" spans="1:27" s="303" customFormat="1" ht="14.25">
      <c r="A996" s="384"/>
      <c r="B996" s="384"/>
      <c r="C996" s="384"/>
      <c r="D996" s="384"/>
      <c r="E996" s="384"/>
      <c r="F996" s="384"/>
      <c r="G996" s="387"/>
      <c r="H996" s="549"/>
      <c r="I996" s="387"/>
      <c r="J996" s="550"/>
      <c r="K996" s="551"/>
      <c r="L996" s="551"/>
      <c r="M996" s="551"/>
      <c r="N996" s="387"/>
      <c r="O996" s="387"/>
      <c r="P996" s="551"/>
      <c r="Q996" s="394"/>
      <c r="R996" s="551"/>
      <c r="S996" s="395"/>
      <c r="T996" s="395"/>
      <c r="U996" s="395"/>
      <c r="V996" s="395"/>
      <c r="W996" s="395"/>
      <c r="X996" s="622"/>
      <c r="Y996" s="458"/>
      <c r="Z996" s="458"/>
      <c r="AA996" s="458"/>
    </row>
    <row r="997" spans="1:27" s="303" customFormat="1" ht="14.25">
      <c r="A997" s="384"/>
      <c r="B997" s="384"/>
      <c r="C997" s="384"/>
      <c r="D997" s="384"/>
      <c r="E997" s="384"/>
      <c r="F997" s="384"/>
      <c r="G997" s="387"/>
      <c r="H997" s="549"/>
      <c r="I997" s="387"/>
      <c r="J997" s="550"/>
      <c r="K997" s="551"/>
      <c r="L997" s="551"/>
      <c r="M997" s="551"/>
      <c r="N997" s="387"/>
      <c r="O997" s="387"/>
      <c r="P997" s="551"/>
      <c r="Q997" s="394"/>
      <c r="R997" s="551"/>
      <c r="S997" s="395"/>
      <c r="T997" s="395"/>
      <c r="U997" s="395"/>
      <c r="V997" s="395"/>
      <c r="W997" s="395"/>
      <c r="X997" s="622"/>
      <c r="Y997" s="458"/>
      <c r="Z997" s="458"/>
      <c r="AA997" s="458"/>
    </row>
    <row r="998" spans="1:27" s="303" customFormat="1" ht="14.25">
      <c r="A998" s="384"/>
      <c r="B998" s="384"/>
      <c r="C998" s="384"/>
      <c r="D998" s="384"/>
      <c r="E998" s="384"/>
      <c r="F998" s="384"/>
      <c r="G998" s="388"/>
      <c r="H998" s="389"/>
      <c r="I998" s="388"/>
      <c r="J998" s="391"/>
      <c r="K998" s="392"/>
      <c r="L998" s="392"/>
      <c r="M998" s="392"/>
      <c r="N998" s="388"/>
      <c r="O998" s="388"/>
      <c r="P998" s="392"/>
      <c r="Q998" s="394"/>
      <c r="R998" s="392"/>
      <c r="S998" s="395"/>
      <c r="T998" s="396"/>
      <c r="U998" s="396"/>
      <c r="V998" s="396"/>
      <c r="W998" s="396"/>
      <c r="X998" s="397"/>
      <c r="Y998" s="339"/>
      <c r="Z998" s="339"/>
      <c r="AA998" s="339"/>
    </row>
    <row r="999" spans="1:27" s="303" customFormat="1" ht="14.25">
      <c r="A999" s="384"/>
      <c r="B999" s="384"/>
      <c r="C999" s="384"/>
      <c r="D999" s="384"/>
      <c r="E999" s="384"/>
      <c r="F999" s="384"/>
      <c r="G999" s="387"/>
      <c r="H999" s="549"/>
      <c r="I999" s="387"/>
      <c r="J999" s="550"/>
      <c r="K999" s="551"/>
      <c r="L999" s="551"/>
      <c r="M999" s="551"/>
      <c r="N999" s="387"/>
      <c r="O999" s="387"/>
      <c r="P999" s="551"/>
      <c r="Q999" s="394"/>
      <c r="R999" s="551"/>
      <c r="S999" s="395"/>
      <c r="T999" s="395"/>
      <c r="U999" s="395"/>
      <c r="V999" s="395"/>
      <c r="W999" s="395"/>
      <c r="X999" s="622"/>
      <c r="Y999" s="458"/>
      <c r="Z999" s="458"/>
      <c r="AA999" s="458"/>
    </row>
    <row r="1000" spans="1:27" s="303" customFormat="1" ht="14.25">
      <c r="A1000" s="384"/>
      <c r="B1000" s="384"/>
      <c r="C1000" s="384"/>
      <c r="D1000" s="384"/>
      <c r="E1000" s="384"/>
      <c r="F1000" s="384"/>
      <c r="G1000" s="388"/>
      <c r="H1000" s="389"/>
      <c r="I1000" s="388"/>
      <c r="J1000" s="391"/>
      <c r="K1000" s="392"/>
      <c r="L1000" s="392"/>
      <c r="M1000" s="392"/>
      <c r="N1000" s="388"/>
      <c r="O1000" s="388"/>
      <c r="P1000" s="392"/>
      <c r="Q1000" s="394"/>
      <c r="R1000" s="392"/>
      <c r="S1000" s="395"/>
      <c r="T1000" s="396"/>
      <c r="U1000" s="396"/>
      <c r="V1000" s="396"/>
      <c r="W1000" s="396"/>
      <c r="X1000" s="397"/>
      <c r="Y1000" s="339"/>
      <c r="Z1000" s="339"/>
      <c r="AA1000" s="339"/>
    </row>
    <row r="1001" spans="1:27" s="303" customFormat="1" ht="14.25">
      <c r="A1001" s="384"/>
      <c r="B1001" s="384"/>
      <c r="C1001" s="384"/>
      <c r="D1001" s="384"/>
      <c r="E1001" s="384"/>
      <c r="F1001" s="384"/>
      <c r="G1001" s="387"/>
      <c r="H1001" s="549"/>
      <c r="I1001" s="387"/>
      <c r="J1001" s="550"/>
      <c r="K1001" s="551"/>
      <c r="L1001" s="551"/>
      <c r="M1001" s="551"/>
      <c r="N1001" s="387"/>
      <c r="O1001" s="387"/>
      <c r="P1001" s="551"/>
      <c r="Q1001" s="394"/>
      <c r="R1001" s="551"/>
      <c r="S1001" s="395"/>
      <c r="T1001" s="395"/>
      <c r="U1001" s="395"/>
      <c r="V1001" s="395"/>
      <c r="W1001" s="395"/>
      <c r="X1001" s="622"/>
      <c r="Y1001" s="458"/>
      <c r="Z1001" s="458"/>
      <c r="AA1001" s="458"/>
    </row>
    <row r="1002" spans="1:27" s="303" customFormat="1" ht="14.25">
      <c r="A1002" s="384"/>
      <c r="B1002" s="384"/>
      <c r="C1002" s="384"/>
      <c r="D1002" s="384"/>
      <c r="E1002" s="384"/>
      <c r="F1002" s="384"/>
      <c r="G1002" s="388"/>
      <c r="H1002" s="389"/>
      <c r="I1002" s="388"/>
      <c r="J1002" s="391"/>
      <c r="K1002" s="392"/>
      <c r="L1002" s="392"/>
      <c r="M1002" s="392"/>
      <c r="N1002" s="388"/>
      <c r="O1002" s="388"/>
      <c r="P1002" s="392"/>
      <c r="Q1002" s="394"/>
      <c r="R1002" s="392"/>
      <c r="S1002" s="395"/>
      <c r="T1002" s="396"/>
      <c r="U1002" s="396"/>
      <c r="V1002" s="396"/>
      <c r="W1002" s="396"/>
      <c r="X1002" s="397"/>
      <c r="Y1002" s="339"/>
      <c r="Z1002" s="339"/>
      <c r="AA1002" s="339"/>
    </row>
    <row r="1003" spans="1:27" s="303" customFormat="1" ht="14.25">
      <c r="A1003" s="384"/>
      <c r="B1003" s="384"/>
      <c r="C1003" s="384"/>
      <c r="D1003" s="384"/>
      <c r="E1003" s="384"/>
      <c r="F1003" s="384"/>
      <c r="G1003" s="387"/>
      <c r="H1003" s="549"/>
      <c r="I1003" s="387"/>
      <c r="J1003" s="550"/>
      <c r="K1003" s="551"/>
      <c r="L1003" s="551"/>
      <c r="M1003" s="551"/>
      <c r="N1003" s="387"/>
      <c r="O1003" s="387"/>
      <c r="P1003" s="551"/>
      <c r="Q1003" s="394"/>
      <c r="R1003" s="551"/>
      <c r="S1003" s="395"/>
      <c r="T1003" s="395"/>
      <c r="U1003" s="395"/>
      <c r="V1003" s="395"/>
      <c r="W1003" s="395"/>
      <c r="X1003" s="622"/>
      <c r="Y1003" s="458"/>
      <c r="Z1003" s="458"/>
      <c r="AA1003" s="458"/>
    </row>
    <row r="1004" spans="1:27" s="303" customFormat="1" ht="14.25">
      <c r="A1004" s="384"/>
      <c r="B1004" s="384"/>
      <c r="C1004" s="384"/>
      <c r="D1004" s="384"/>
      <c r="E1004" s="384"/>
      <c r="F1004" s="384"/>
      <c r="G1004" s="388"/>
      <c r="H1004" s="389"/>
      <c r="I1004" s="388"/>
      <c r="J1004" s="391"/>
      <c r="K1004" s="392"/>
      <c r="L1004" s="392"/>
      <c r="M1004" s="392"/>
      <c r="N1004" s="388"/>
      <c r="O1004" s="388"/>
      <c r="P1004" s="392"/>
      <c r="Q1004" s="394"/>
      <c r="R1004" s="392"/>
      <c r="S1004" s="395"/>
      <c r="T1004" s="396"/>
      <c r="U1004" s="396"/>
      <c r="V1004" s="396"/>
      <c r="W1004" s="396"/>
      <c r="X1004" s="397"/>
      <c r="Y1004" s="339"/>
      <c r="Z1004" s="339"/>
      <c r="AA1004" s="339"/>
    </row>
    <row r="1005" spans="1:27" s="303" customFormat="1" ht="14.25">
      <c r="A1005" s="384"/>
      <c r="B1005" s="384"/>
      <c r="C1005" s="384"/>
      <c r="D1005" s="384"/>
      <c r="E1005" s="384"/>
      <c r="F1005" s="384"/>
      <c r="G1005" s="387"/>
      <c r="H1005" s="549"/>
      <c r="I1005" s="387"/>
      <c r="J1005" s="550"/>
      <c r="K1005" s="551"/>
      <c r="L1005" s="551"/>
      <c r="M1005" s="551"/>
      <c r="N1005" s="387"/>
      <c r="O1005" s="387"/>
      <c r="P1005" s="551"/>
      <c r="Q1005" s="394"/>
      <c r="R1005" s="551"/>
      <c r="S1005" s="395"/>
      <c r="T1005" s="395"/>
      <c r="U1005" s="395"/>
      <c r="V1005" s="395"/>
      <c r="W1005" s="395"/>
      <c r="X1005" s="622"/>
      <c r="Y1005" s="458"/>
      <c r="Z1005" s="458"/>
      <c r="AA1005" s="458"/>
    </row>
    <row r="1006" spans="1:27" s="303" customFormat="1" ht="14.25">
      <c r="A1006" s="384"/>
      <c r="B1006" s="384"/>
      <c r="C1006" s="384"/>
      <c r="D1006" s="384"/>
      <c r="E1006" s="384"/>
      <c r="F1006" s="384"/>
      <c r="G1006" s="387"/>
      <c r="H1006" s="549"/>
      <c r="I1006" s="387"/>
      <c r="J1006" s="550"/>
      <c r="K1006" s="551"/>
      <c r="L1006" s="551"/>
      <c r="M1006" s="551"/>
      <c r="N1006" s="387"/>
      <c r="O1006" s="387"/>
      <c r="P1006" s="551"/>
      <c r="Q1006" s="394"/>
      <c r="R1006" s="551"/>
      <c r="S1006" s="395"/>
      <c r="T1006" s="395"/>
      <c r="U1006" s="395"/>
      <c r="V1006" s="395"/>
      <c r="W1006" s="395"/>
      <c r="X1006" s="622"/>
      <c r="Y1006" s="458"/>
      <c r="Z1006" s="458"/>
      <c r="AA1006" s="458"/>
    </row>
    <row r="1007" spans="1:27" s="303" customFormat="1" ht="14.25">
      <c r="A1007" s="384"/>
      <c r="B1007" s="384"/>
      <c r="C1007" s="384"/>
      <c r="D1007" s="384"/>
      <c r="E1007" s="384"/>
      <c r="F1007" s="384"/>
      <c r="G1007" s="387"/>
      <c r="H1007" s="549"/>
      <c r="I1007" s="387"/>
      <c r="J1007" s="550"/>
      <c r="K1007" s="551"/>
      <c r="L1007" s="551"/>
      <c r="M1007" s="551"/>
      <c r="N1007" s="387"/>
      <c r="O1007" s="387"/>
      <c r="P1007" s="551"/>
      <c r="Q1007" s="394"/>
      <c r="R1007" s="551"/>
      <c r="S1007" s="395"/>
      <c r="T1007" s="395"/>
      <c r="U1007" s="395"/>
      <c r="V1007" s="395"/>
      <c r="W1007" s="395"/>
      <c r="X1007" s="622"/>
      <c r="Y1007" s="458"/>
      <c r="Z1007" s="458"/>
      <c r="AA1007" s="458"/>
    </row>
    <row r="1008" spans="1:27" s="303" customFormat="1" ht="14.25">
      <c r="A1008" s="384"/>
      <c r="B1008" s="384"/>
      <c r="C1008" s="384"/>
      <c r="D1008" s="384"/>
      <c r="E1008" s="384"/>
      <c r="F1008" s="384"/>
      <c r="G1008" s="388"/>
      <c r="H1008" s="389"/>
      <c r="I1008" s="388"/>
      <c r="J1008" s="391"/>
      <c r="K1008" s="392"/>
      <c r="L1008" s="392"/>
      <c r="M1008" s="392"/>
      <c r="N1008" s="388"/>
      <c r="O1008" s="388"/>
      <c r="P1008" s="392"/>
      <c r="Q1008" s="394"/>
      <c r="R1008" s="392"/>
      <c r="S1008" s="395"/>
      <c r="T1008" s="396"/>
      <c r="U1008" s="396"/>
      <c r="V1008" s="396"/>
      <c r="W1008" s="396"/>
      <c r="X1008" s="397"/>
      <c r="Y1008" s="339"/>
      <c r="Z1008" s="339"/>
      <c r="AA1008" s="339"/>
    </row>
    <row r="1009" spans="1:27" s="303" customFormat="1" ht="14.25">
      <c r="A1009" s="384"/>
      <c r="B1009" s="384"/>
      <c r="C1009" s="384"/>
      <c r="D1009" s="384"/>
      <c r="E1009" s="384"/>
      <c r="F1009" s="384"/>
      <c r="G1009" s="387"/>
      <c r="H1009" s="549"/>
      <c r="I1009" s="387"/>
      <c r="J1009" s="550"/>
      <c r="K1009" s="551"/>
      <c r="L1009" s="551"/>
      <c r="M1009" s="551"/>
      <c r="N1009" s="387"/>
      <c r="O1009" s="387"/>
      <c r="P1009" s="551"/>
      <c r="Q1009" s="394"/>
      <c r="R1009" s="551"/>
      <c r="S1009" s="395"/>
      <c r="T1009" s="395"/>
      <c r="U1009" s="395"/>
      <c r="V1009" s="395"/>
      <c r="W1009" s="395"/>
      <c r="X1009" s="622"/>
      <c r="Y1009" s="458"/>
      <c r="Z1009" s="458"/>
      <c r="AA1009" s="458"/>
    </row>
    <row r="1010" spans="1:27" s="303" customFormat="1" ht="14.25">
      <c r="A1010" s="384"/>
      <c r="B1010" s="384"/>
      <c r="C1010" s="384"/>
      <c r="D1010" s="384"/>
      <c r="E1010" s="384"/>
      <c r="F1010" s="384"/>
      <c r="G1010" s="388"/>
      <c r="H1010" s="389"/>
      <c r="I1010" s="388"/>
      <c r="J1010" s="391"/>
      <c r="K1010" s="392"/>
      <c r="L1010" s="392"/>
      <c r="M1010" s="392"/>
      <c r="N1010" s="388"/>
      <c r="O1010" s="388"/>
      <c r="P1010" s="392"/>
      <c r="Q1010" s="394"/>
      <c r="R1010" s="392"/>
      <c r="S1010" s="395"/>
      <c r="T1010" s="396"/>
      <c r="U1010" s="396"/>
      <c r="V1010" s="396"/>
      <c r="W1010" s="396"/>
      <c r="X1010" s="397"/>
      <c r="Y1010" s="339"/>
      <c r="Z1010" s="339"/>
      <c r="AA1010" s="339"/>
    </row>
    <row r="1011" spans="1:27" s="303" customFormat="1" ht="14.25">
      <c r="A1011" s="384"/>
      <c r="B1011" s="384"/>
      <c r="C1011" s="384"/>
      <c r="D1011" s="384"/>
      <c r="E1011" s="384"/>
      <c r="F1011" s="384"/>
      <c r="G1011" s="387"/>
      <c r="H1011" s="549"/>
      <c r="I1011" s="387"/>
      <c r="J1011" s="550"/>
      <c r="K1011" s="551"/>
      <c r="L1011" s="551"/>
      <c r="M1011" s="551"/>
      <c r="N1011" s="387"/>
      <c r="O1011" s="387"/>
      <c r="P1011" s="551"/>
      <c r="Q1011" s="394"/>
      <c r="R1011" s="551"/>
      <c r="S1011" s="395"/>
      <c r="T1011" s="395"/>
      <c r="U1011" s="395"/>
      <c r="V1011" s="395"/>
      <c r="W1011" s="395"/>
      <c r="X1011" s="622"/>
      <c r="Y1011" s="458"/>
      <c r="Z1011" s="458"/>
      <c r="AA1011" s="458"/>
    </row>
    <row r="1012" spans="1:27" s="303" customFormat="1" ht="14.25">
      <c r="A1012" s="384"/>
      <c r="B1012" s="384"/>
      <c r="C1012" s="384"/>
      <c r="D1012" s="384"/>
      <c r="E1012" s="384"/>
      <c r="F1012" s="384"/>
      <c r="G1012" s="388"/>
      <c r="H1012" s="389"/>
      <c r="I1012" s="388"/>
      <c r="J1012" s="391"/>
      <c r="K1012" s="392"/>
      <c r="L1012" s="392"/>
      <c r="M1012" s="392"/>
      <c r="N1012" s="388"/>
      <c r="O1012" s="388"/>
      <c r="P1012" s="392"/>
      <c r="Q1012" s="394"/>
      <c r="R1012" s="392"/>
      <c r="S1012" s="395"/>
      <c r="T1012" s="396"/>
      <c r="U1012" s="396"/>
      <c r="V1012" s="396"/>
      <c r="W1012" s="396"/>
      <c r="X1012" s="397"/>
      <c r="Y1012" s="339"/>
      <c r="Z1012" s="339"/>
      <c r="AA1012" s="339"/>
    </row>
    <row r="1013" spans="1:27" s="303" customFormat="1" ht="14.25">
      <c r="A1013" s="384"/>
      <c r="B1013" s="384"/>
      <c r="C1013" s="384"/>
      <c r="D1013" s="384"/>
      <c r="E1013" s="384"/>
      <c r="F1013" s="384"/>
      <c r="G1013" s="387"/>
      <c r="H1013" s="549"/>
      <c r="I1013" s="387"/>
      <c r="J1013" s="550"/>
      <c r="K1013" s="551"/>
      <c r="L1013" s="551"/>
      <c r="M1013" s="551"/>
      <c r="N1013" s="387"/>
      <c r="O1013" s="387"/>
      <c r="P1013" s="551"/>
      <c r="Q1013" s="394"/>
      <c r="R1013" s="551"/>
      <c r="S1013" s="395"/>
      <c r="T1013" s="395"/>
      <c r="U1013" s="395"/>
      <c r="V1013" s="395"/>
      <c r="W1013" s="395"/>
      <c r="X1013" s="622"/>
      <c r="Y1013" s="458"/>
      <c r="Z1013" s="458"/>
      <c r="AA1013" s="458"/>
    </row>
    <row r="1014" spans="1:27" s="303" customFormat="1" ht="14.25">
      <c r="A1014" s="384"/>
      <c r="B1014" s="384"/>
      <c r="C1014" s="384"/>
      <c r="D1014" s="384"/>
      <c r="E1014" s="384"/>
      <c r="F1014" s="384"/>
      <c r="G1014" s="387"/>
      <c r="H1014" s="549"/>
      <c r="I1014" s="387"/>
      <c r="J1014" s="550"/>
      <c r="K1014" s="551"/>
      <c r="L1014" s="551"/>
      <c r="M1014" s="551"/>
      <c r="N1014" s="387"/>
      <c r="O1014" s="387"/>
      <c r="P1014" s="551"/>
      <c r="Q1014" s="394"/>
      <c r="R1014" s="551"/>
      <c r="S1014" s="395"/>
      <c r="T1014" s="395"/>
      <c r="U1014" s="395"/>
      <c r="V1014" s="395"/>
      <c r="W1014" s="395"/>
      <c r="X1014" s="622"/>
      <c r="Y1014" s="458"/>
      <c r="Z1014" s="458"/>
      <c r="AA1014" s="458"/>
    </row>
    <row r="1015" spans="1:27" s="303" customFormat="1" ht="14.25">
      <c r="A1015" s="384"/>
      <c r="B1015" s="384"/>
      <c r="C1015" s="384"/>
      <c r="D1015" s="384"/>
      <c r="E1015" s="384"/>
      <c r="F1015" s="384"/>
      <c r="G1015" s="387"/>
      <c r="H1015" s="549"/>
      <c r="I1015" s="387"/>
      <c r="J1015" s="550"/>
      <c r="K1015" s="551"/>
      <c r="L1015" s="551"/>
      <c r="M1015" s="551"/>
      <c r="N1015" s="387"/>
      <c r="O1015" s="387"/>
      <c r="P1015" s="551"/>
      <c r="Q1015" s="394"/>
      <c r="R1015" s="551"/>
      <c r="S1015" s="395"/>
      <c r="T1015" s="395"/>
      <c r="U1015" s="395"/>
      <c r="V1015" s="395"/>
      <c r="W1015" s="395"/>
      <c r="X1015" s="622"/>
      <c r="Y1015" s="458"/>
      <c r="Z1015" s="458"/>
      <c r="AA1015" s="458"/>
    </row>
    <row r="1016" spans="1:27" s="303" customFormat="1" ht="14.25">
      <c r="A1016" s="384"/>
      <c r="B1016" s="384"/>
      <c r="C1016" s="384"/>
      <c r="D1016" s="384"/>
      <c r="E1016" s="384"/>
      <c r="F1016" s="384"/>
      <c r="G1016" s="388"/>
      <c r="H1016" s="389"/>
      <c r="I1016" s="388"/>
      <c r="J1016" s="391"/>
      <c r="K1016" s="392"/>
      <c r="L1016" s="392"/>
      <c r="M1016" s="392"/>
      <c r="N1016" s="388"/>
      <c r="O1016" s="388"/>
      <c r="P1016" s="392"/>
      <c r="Q1016" s="394"/>
      <c r="R1016" s="392"/>
      <c r="S1016" s="395"/>
      <c r="T1016" s="396"/>
      <c r="U1016" s="396"/>
      <c r="V1016" s="396"/>
      <c r="W1016" s="396"/>
      <c r="X1016" s="397"/>
      <c r="Y1016" s="339"/>
      <c r="Z1016" s="339"/>
      <c r="AA1016" s="339"/>
    </row>
    <row r="1017" spans="1:27" s="303" customFormat="1" ht="14.25">
      <c r="A1017" s="384"/>
      <c r="B1017" s="384"/>
      <c r="C1017" s="384"/>
      <c r="D1017" s="384"/>
      <c r="E1017" s="384"/>
      <c r="F1017" s="384"/>
      <c r="G1017" s="387"/>
      <c r="H1017" s="549"/>
      <c r="I1017" s="387"/>
      <c r="J1017" s="550"/>
      <c r="K1017" s="551"/>
      <c r="L1017" s="551"/>
      <c r="M1017" s="551"/>
      <c r="N1017" s="387"/>
      <c r="O1017" s="387"/>
      <c r="P1017" s="551"/>
      <c r="Q1017" s="394"/>
      <c r="R1017" s="551"/>
      <c r="S1017" s="395"/>
      <c r="T1017" s="395"/>
      <c r="U1017" s="395"/>
      <c r="V1017" s="395"/>
      <c r="W1017" s="395"/>
      <c r="X1017" s="622"/>
      <c r="Y1017" s="458"/>
      <c r="Z1017" s="458"/>
      <c r="AA1017" s="458"/>
    </row>
    <row r="1018" spans="1:27" s="303" customFormat="1" ht="14.25">
      <c r="A1018" s="384"/>
      <c r="B1018" s="384"/>
      <c r="C1018" s="384"/>
      <c r="D1018" s="384"/>
      <c r="E1018" s="384"/>
      <c r="F1018" s="384"/>
      <c r="G1018" s="388"/>
      <c r="H1018" s="389"/>
      <c r="I1018" s="388"/>
      <c r="J1018" s="391"/>
      <c r="K1018" s="392"/>
      <c r="L1018" s="392"/>
      <c r="M1018" s="392"/>
      <c r="N1018" s="388"/>
      <c r="O1018" s="388"/>
      <c r="P1018" s="392"/>
      <c r="Q1018" s="394"/>
      <c r="R1018" s="392"/>
      <c r="S1018" s="395"/>
      <c r="T1018" s="396"/>
      <c r="U1018" s="396"/>
      <c r="V1018" s="396"/>
      <c r="W1018" s="396"/>
      <c r="X1018" s="397"/>
      <c r="Y1018" s="339"/>
      <c r="Z1018" s="339"/>
      <c r="AA1018" s="339"/>
    </row>
    <row r="1019" spans="1:27" s="303" customFormat="1" ht="14.25">
      <c r="A1019" s="384"/>
      <c r="B1019" s="384"/>
      <c r="C1019" s="384"/>
      <c r="D1019" s="384"/>
      <c r="E1019" s="384"/>
      <c r="F1019" s="384"/>
      <c r="G1019" s="387"/>
      <c r="H1019" s="549"/>
      <c r="I1019" s="387"/>
      <c r="J1019" s="550"/>
      <c r="K1019" s="551"/>
      <c r="L1019" s="551"/>
      <c r="M1019" s="551"/>
      <c r="N1019" s="387"/>
      <c r="O1019" s="387"/>
      <c r="P1019" s="551"/>
      <c r="Q1019" s="394"/>
      <c r="R1019" s="551"/>
      <c r="S1019" s="395"/>
      <c r="T1019" s="395"/>
      <c r="U1019" s="395"/>
      <c r="V1019" s="395"/>
      <c r="W1019" s="395"/>
      <c r="X1019" s="622"/>
      <c r="Y1019" s="458"/>
      <c r="Z1019" s="458"/>
      <c r="AA1019" s="458"/>
    </row>
    <row r="1020" spans="1:27" s="303" customFormat="1" ht="14.25">
      <c r="A1020" s="384"/>
      <c r="B1020" s="384"/>
      <c r="C1020" s="384"/>
      <c r="D1020" s="384"/>
      <c r="E1020" s="384"/>
      <c r="F1020" s="384"/>
      <c r="G1020" s="388"/>
      <c r="H1020" s="389"/>
      <c r="I1020" s="388"/>
      <c r="J1020" s="391"/>
      <c r="K1020" s="392"/>
      <c r="L1020" s="392"/>
      <c r="M1020" s="392"/>
      <c r="N1020" s="388"/>
      <c r="O1020" s="388"/>
      <c r="P1020" s="392"/>
      <c r="Q1020" s="394"/>
      <c r="R1020" s="392"/>
      <c r="S1020" s="395"/>
      <c r="T1020" s="396"/>
      <c r="U1020" s="396"/>
      <c r="V1020" s="396"/>
      <c r="W1020" s="396"/>
      <c r="X1020" s="397"/>
      <c r="Y1020" s="339"/>
      <c r="Z1020" s="339"/>
      <c r="AA1020" s="339"/>
    </row>
    <row r="1021" spans="1:27" s="303" customFormat="1" ht="14.25">
      <c r="A1021" s="384"/>
      <c r="B1021" s="384"/>
      <c r="C1021" s="384"/>
      <c r="D1021" s="384"/>
      <c r="E1021" s="384"/>
      <c r="F1021" s="384"/>
      <c r="G1021" s="387"/>
      <c r="H1021" s="549"/>
      <c r="I1021" s="387"/>
      <c r="J1021" s="550"/>
      <c r="K1021" s="551"/>
      <c r="L1021" s="551"/>
      <c r="M1021" s="551"/>
      <c r="N1021" s="387"/>
      <c r="O1021" s="387"/>
      <c r="P1021" s="551"/>
      <c r="Q1021" s="394"/>
      <c r="R1021" s="551"/>
      <c r="S1021" s="395"/>
      <c r="T1021" s="395"/>
      <c r="U1021" s="395"/>
      <c r="V1021" s="395"/>
      <c r="W1021" s="395"/>
      <c r="X1021" s="622"/>
      <c r="Y1021" s="458"/>
      <c r="Z1021" s="458"/>
      <c r="AA1021" s="458"/>
    </row>
    <row r="1022" spans="1:27" s="303" customFormat="1" ht="14.25">
      <c r="A1022" s="384"/>
      <c r="B1022" s="384"/>
      <c r="C1022" s="384"/>
      <c r="D1022" s="384"/>
      <c r="E1022" s="384"/>
      <c r="F1022" s="384"/>
      <c r="G1022" s="388"/>
      <c r="H1022" s="389"/>
      <c r="I1022" s="388"/>
      <c r="J1022" s="391"/>
      <c r="K1022" s="392"/>
      <c r="L1022" s="392"/>
      <c r="M1022" s="392"/>
      <c r="N1022" s="388"/>
      <c r="O1022" s="388"/>
      <c r="P1022" s="392"/>
      <c r="Q1022" s="394"/>
      <c r="R1022" s="392"/>
      <c r="S1022" s="395"/>
      <c r="T1022" s="396"/>
      <c r="U1022" s="396"/>
      <c r="V1022" s="396"/>
      <c r="W1022" s="396"/>
      <c r="X1022" s="397"/>
      <c r="Y1022" s="339"/>
      <c r="Z1022" s="339"/>
      <c r="AA1022" s="339"/>
    </row>
    <row r="1023" spans="1:27" s="303" customFormat="1" ht="14.25">
      <c r="A1023" s="384"/>
      <c r="B1023" s="384"/>
      <c r="C1023" s="384"/>
      <c r="D1023" s="384"/>
      <c r="E1023" s="384"/>
      <c r="F1023" s="384"/>
      <c r="G1023" s="387"/>
      <c r="H1023" s="549"/>
      <c r="I1023" s="387"/>
      <c r="J1023" s="550"/>
      <c r="K1023" s="551"/>
      <c r="L1023" s="551"/>
      <c r="M1023" s="551"/>
      <c r="N1023" s="387"/>
      <c r="O1023" s="387"/>
      <c r="P1023" s="551"/>
      <c r="Q1023" s="394"/>
      <c r="R1023" s="551"/>
      <c r="S1023" s="395"/>
      <c r="T1023" s="395"/>
      <c r="U1023" s="395"/>
      <c r="V1023" s="395"/>
      <c r="W1023" s="395"/>
      <c r="X1023" s="622"/>
      <c r="Y1023" s="458"/>
      <c r="Z1023" s="458"/>
      <c r="AA1023" s="458"/>
    </row>
    <row r="1024" spans="1:27" s="303" customFormat="1" ht="14.25">
      <c r="A1024" s="384"/>
      <c r="B1024" s="384"/>
      <c r="C1024" s="384"/>
      <c r="D1024" s="384"/>
      <c r="E1024" s="384"/>
      <c r="F1024" s="384"/>
      <c r="G1024" s="388"/>
      <c r="H1024" s="389"/>
      <c r="I1024" s="388"/>
      <c r="J1024" s="391"/>
      <c r="K1024" s="392"/>
      <c r="L1024" s="392"/>
      <c r="M1024" s="392"/>
      <c r="N1024" s="388"/>
      <c r="O1024" s="388"/>
      <c r="P1024" s="392"/>
      <c r="Q1024" s="394"/>
      <c r="R1024" s="392"/>
      <c r="S1024" s="395"/>
      <c r="T1024" s="396"/>
      <c r="U1024" s="396"/>
      <c r="V1024" s="396"/>
      <c r="W1024" s="396"/>
      <c r="X1024" s="397"/>
      <c r="Y1024" s="339"/>
      <c r="Z1024" s="339"/>
      <c r="AA1024" s="339"/>
    </row>
    <row r="1025" spans="1:27" s="303" customFormat="1" ht="14.25">
      <c r="A1025" s="384"/>
      <c r="B1025" s="384"/>
      <c r="C1025" s="384"/>
      <c r="D1025" s="384"/>
      <c r="E1025" s="384"/>
      <c r="F1025" s="384"/>
      <c r="G1025" s="387"/>
      <c r="H1025" s="549"/>
      <c r="I1025" s="387"/>
      <c r="J1025" s="550"/>
      <c r="K1025" s="551"/>
      <c r="L1025" s="551"/>
      <c r="M1025" s="551"/>
      <c r="N1025" s="387"/>
      <c r="O1025" s="387"/>
      <c r="P1025" s="551"/>
      <c r="Q1025" s="394"/>
      <c r="R1025" s="551"/>
      <c r="S1025" s="395"/>
      <c r="T1025" s="395"/>
      <c r="U1025" s="395"/>
      <c r="V1025" s="395"/>
      <c r="W1025" s="395"/>
      <c r="X1025" s="622"/>
      <c r="Y1025" s="458"/>
      <c r="Z1025" s="458"/>
      <c r="AA1025" s="458"/>
    </row>
    <row r="1026" spans="1:27" s="303" customFormat="1" ht="14.25">
      <c r="A1026" s="384"/>
      <c r="B1026" s="384"/>
      <c r="C1026" s="384"/>
      <c r="D1026" s="384"/>
      <c r="E1026" s="384"/>
      <c r="F1026" s="384"/>
      <c r="G1026" s="388"/>
      <c r="H1026" s="389"/>
      <c r="I1026" s="388"/>
      <c r="J1026" s="391"/>
      <c r="K1026" s="392"/>
      <c r="L1026" s="392"/>
      <c r="M1026" s="392"/>
      <c r="N1026" s="388"/>
      <c r="O1026" s="388"/>
      <c r="P1026" s="392"/>
      <c r="Q1026" s="394"/>
      <c r="R1026" s="392"/>
      <c r="S1026" s="395"/>
      <c r="T1026" s="396"/>
      <c r="U1026" s="396"/>
      <c r="V1026" s="396"/>
      <c r="W1026" s="396"/>
      <c r="X1026" s="397"/>
      <c r="Y1026" s="339"/>
      <c r="Z1026" s="339"/>
      <c r="AA1026" s="339"/>
    </row>
    <row r="1027" spans="1:27" s="303" customFormat="1" ht="14.25">
      <c r="A1027" s="384"/>
      <c r="B1027" s="384"/>
      <c r="C1027" s="384"/>
      <c r="D1027" s="384"/>
      <c r="E1027" s="384"/>
      <c r="F1027" s="384"/>
      <c r="G1027" s="387"/>
      <c r="H1027" s="549"/>
      <c r="I1027" s="387"/>
      <c r="J1027" s="550"/>
      <c r="K1027" s="551"/>
      <c r="L1027" s="551"/>
      <c r="M1027" s="551"/>
      <c r="N1027" s="387"/>
      <c r="O1027" s="387"/>
      <c r="P1027" s="551"/>
      <c r="Q1027" s="394"/>
      <c r="R1027" s="551"/>
      <c r="S1027" s="395"/>
      <c r="T1027" s="395"/>
      <c r="U1027" s="395"/>
      <c r="V1027" s="395"/>
      <c r="W1027" s="395"/>
      <c r="X1027" s="622"/>
      <c r="Y1027" s="458"/>
      <c r="Z1027" s="458"/>
      <c r="AA1027" s="458"/>
    </row>
    <row r="1028" spans="1:27" s="303" customFormat="1" ht="14.25">
      <c r="A1028" s="384"/>
      <c r="B1028" s="384"/>
      <c r="C1028" s="384"/>
      <c r="D1028" s="384"/>
      <c r="E1028" s="384"/>
      <c r="F1028" s="384"/>
      <c r="G1028" s="388"/>
      <c r="H1028" s="389"/>
      <c r="I1028" s="388"/>
      <c r="J1028" s="391"/>
      <c r="K1028" s="392"/>
      <c r="L1028" s="392"/>
      <c r="M1028" s="392"/>
      <c r="N1028" s="388"/>
      <c r="O1028" s="388"/>
      <c r="P1028" s="392"/>
      <c r="Q1028" s="394"/>
      <c r="R1028" s="392"/>
      <c r="S1028" s="395"/>
      <c r="T1028" s="396"/>
      <c r="U1028" s="396"/>
      <c r="V1028" s="396"/>
      <c r="W1028" s="396"/>
      <c r="X1028" s="397"/>
      <c r="Y1028" s="339"/>
      <c r="Z1028" s="339"/>
      <c r="AA1028" s="339"/>
    </row>
    <row r="1029" spans="1:27" s="303" customFormat="1" ht="14.25">
      <c r="A1029" s="384"/>
      <c r="B1029" s="384"/>
      <c r="C1029" s="384"/>
      <c r="D1029" s="384"/>
      <c r="E1029" s="384"/>
      <c r="F1029" s="384"/>
      <c r="G1029" s="387"/>
      <c r="H1029" s="549"/>
      <c r="I1029" s="387"/>
      <c r="J1029" s="550"/>
      <c r="K1029" s="551"/>
      <c r="L1029" s="551"/>
      <c r="M1029" s="551"/>
      <c r="N1029" s="387"/>
      <c r="O1029" s="387"/>
      <c r="P1029" s="551"/>
      <c r="Q1029" s="394"/>
      <c r="R1029" s="551"/>
      <c r="S1029" s="395"/>
      <c r="T1029" s="395"/>
      <c r="U1029" s="395"/>
      <c r="V1029" s="395"/>
      <c r="W1029" s="395"/>
      <c r="X1029" s="622"/>
      <c r="Y1029" s="458"/>
      <c r="Z1029" s="458"/>
      <c r="AA1029" s="458"/>
    </row>
    <row r="1030" spans="1:27" s="303" customFormat="1" ht="14.25">
      <c r="A1030" s="384"/>
      <c r="B1030" s="384"/>
      <c r="C1030" s="384"/>
      <c r="D1030" s="384"/>
      <c r="E1030" s="384"/>
      <c r="F1030" s="384"/>
      <c r="G1030" s="388"/>
      <c r="H1030" s="389"/>
      <c r="I1030" s="388"/>
      <c r="J1030" s="391"/>
      <c r="K1030" s="392"/>
      <c r="L1030" s="392"/>
      <c r="M1030" s="392"/>
      <c r="N1030" s="388"/>
      <c r="O1030" s="388"/>
      <c r="P1030" s="392"/>
      <c r="Q1030" s="394"/>
      <c r="R1030" s="392"/>
      <c r="S1030" s="395"/>
      <c r="T1030" s="396"/>
      <c r="U1030" s="396"/>
      <c r="V1030" s="396"/>
      <c r="W1030" s="396"/>
      <c r="X1030" s="397"/>
      <c r="Y1030" s="339"/>
      <c r="Z1030" s="339"/>
      <c r="AA1030" s="339"/>
    </row>
    <row r="1031" spans="1:27" s="303" customFormat="1" ht="14.25">
      <c r="A1031" s="384"/>
      <c r="B1031" s="384"/>
      <c r="C1031" s="384"/>
      <c r="D1031" s="384"/>
      <c r="E1031" s="384"/>
      <c r="F1031" s="384"/>
      <c r="G1031" s="387"/>
      <c r="H1031" s="549"/>
      <c r="I1031" s="387"/>
      <c r="J1031" s="550"/>
      <c r="K1031" s="551"/>
      <c r="L1031" s="551"/>
      <c r="M1031" s="551"/>
      <c r="N1031" s="387"/>
      <c r="O1031" s="387"/>
      <c r="P1031" s="551"/>
      <c r="Q1031" s="394"/>
      <c r="R1031" s="551"/>
      <c r="S1031" s="395"/>
      <c r="T1031" s="395"/>
      <c r="U1031" s="395"/>
      <c r="V1031" s="395"/>
      <c r="W1031" s="395"/>
      <c r="X1031" s="622"/>
      <c r="Y1031" s="458"/>
      <c r="Z1031" s="458"/>
      <c r="AA1031" s="458"/>
    </row>
    <row r="1032" spans="1:27" s="303" customFormat="1" ht="14.25">
      <c r="A1032" s="384"/>
      <c r="B1032" s="384"/>
      <c r="C1032" s="384"/>
      <c r="D1032" s="384"/>
      <c r="E1032" s="384"/>
      <c r="F1032" s="384"/>
      <c r="G1032" s="388"/>
      <c r="H1032" s="389"/>
      <c r="I1032" s="388"/>
      <c r="J1032" s="391"/>
      <c r="K1032" s="392"/>
      <c r="L1032" s="392"/>
      <c r="M1032" s="392"/>
      <c r="N1032" s="388"/>
      <c r="O1032" s="388"/>
      <c r="P1032" s="392"/>
      <c r="Q1032" s="394"/>
      <c r="R1032" s="392"/>
      <c r="S1032" s="395"/>
      <c r="T1032" s="396"/>
      <c r="U1032" s="396"/>
      <c r="V1032" s="396"/>
      <c r="W1032" s="396"/>
      <c r="X1032" s="397"/>
      <c r="Y1032" s="339"/>
      <c r="Z1032" s="339"/>
      <c r="AA1032" s="339"/>
    </row>
    <row r="1033" spans="1:27" s="303" customFormat="1" ht="14.25">
      <c r="A1033" s="384"/>
      <c r="B1033" s="384"/>
      <c r="C1033" s="384"/>
      <c r="D1033" s="384"/>
      <c r="E1033" s="384"/>
      <c r="F1033" s="384"/>
      <c r="G1033" s="387"/>
      <c r="H1033" s="549"/>
      <c r="I1033" s="387"/>
      <c r="J1033" s="550"/>
      <c r="K1033" s="551"/>
      <c r="L1033" s="551"/>
      <c r="M1033" s="551"/>
      <c r="N1033" s="387"/>
      <c r="O1033" s="387"/>
      <c r="P1033" s="551"/>
      <c r="Q1033" s="394"/>
      <c r="R1033" s="551"/>
      <c r="S1033" s="395"/>
      <c r="T1033" s="395"/>
      <c r="U1033" s="395"/>
      <c r="V1033" s="395"/>
      <c r="W1033" s="395"/>
      <c r="X1033" s="622"/>
      <c r="Y1033" s="458"/>
      <c r="Z1033" s="458"/>
      <c r="AA1033" s="458"/>
    </row>
    <row r="1034" spans="1:27" s="303" customFormat="1" ht="14.25">
      <c r="A1034" s="384"/>
      <c r="B1034" s="384"/>
      <c r="C1034" s="384"/>
      <c r="D1034" s="384"/>
      <c r="E1034" s="384"/>
      <c r="F1034" s="384"/>
      <c r="G1034" s="388"/>
      <c r="H1034" s="389"/>
      <c r="I1034" s="388"/>
      <c r="J1034" s="391"/>
      <c r="K1034" s="392"/>
      <c r="L1034" s="392"/>
      <c r="M1034" s="392"/>
      <c r="N1034" s="388"/>
      <c r="O1034" s="388"/>
      <c r="P1034" s="392"/>
      <c r="Q1034" s="394"/>
      <c r="R1034" s="392"/>
      <c r="S1034" s="395"/>
      <c r="T1034" s="396"/>
      <c r="U1034" s="396"/>
      <c r="V1034" s="396"/>
      <c r="W1034" s="396"/>
      <c r="X1034" s="397"/>
      <c r="Y1034" s="339"/>
      <c r="Z1034" s="339"/>
      <c r="AA1034" s="339"/>
    </row>
    <row r="1035" spans="1:27" s="303" customFormat="1" ht="14.25">
      <c r="A1035" s="384"/>
      <c r="B1035" s="384"/>
      <c r="C1035" s="384"/>
      <c r="D1035" s="384"/>
      <c r="E1035" s="384"/>
      <c r="F1035" s="384"/>
      <c r="G1035" s="387"/>
      <c r="H1035" s="549"/>
      <c r="I1035" s="387"/>
      <c r="J1035" s="550"/>
      <c r="K1035" s="551"/>
      <c r="L1035" s="551"/>
      <c r="M1035" s="551"/>
      <c r="N1035" s="387"/>
      <c r="O1035" s="387"/>
      <c r="P1035" s="551"/>
      <c r="Q1035" s="394"/>
      <c r="R1035" s="551"/>
      <c r="S1035" s="395"/>
      <c r="T1035" s="395"/>
      <c r="U1035" s="395"/>
      <c r="V1035" s="395"/>
      <c r="W1035" s="395"/>
      <c r="X1035" s="622"/>
      <c r="Y1035" s="458"/>
      <c r="Z1035" s="458"/>
      <c r="AA1035" s="458"/>
    </row>
    <row r="1036" spans="1:27" s="303" customFormat="1" ht="14.25">
      <c r="A1036" s="384"/>
      <c r="B1036" s="384"/>
      <c r="C1036" s="384"/>
      <c r="D1036" s="384"/>
      <c r="E1036" s="384"/>
      <c r="F1036" s="384"/>
      <c r="G1036" s="388"/>
      <c r="H1036" s="389"/>
      <c r="I1036" s="388"/>
      <c r="J1036" s="391"/>
      <c r="K1036" s="392"/>
      <c r="L1036" s="392"/>
      <c r="M1036" s="392"/>
      <c r="N1036" s="388"/>
      <c r="O1036" s="388"/>
      <c r="P1036" s="392"/>
      <c r="Q1036" s="394"/>
      <c r="R1036" s="392"/>
      <c r="S1036" s="395"/>
      <c r="T1036" s="396"/>
      <c r="U1036" s="396"/>
      <c r="V1036" s="396"/>
      <c r="W1036" s="396"/>
      <c r="X1036" s="397"/>
      <c r="Y1036" s="339"/>
      <c r="Z1036" s="339"/>
      <c r="AA1036" s="339"/>
    </row>
    <row r="1037" spans="1:27" s="303" customFormat="1" ht="14.25">
      <c r="A1037" s="384"/>
      <c r="B1037" s="384"/>
      <c r="C1037" s="384"/>
      <c r="D1037" s="384"/>
      <c r="E1037" s="384"/>
      <c r="F1037" s="384"/>
      <c r="G1037" s="387"/>
      <c r="H1037" s="549"/>
      <c r="I1037" s="387"/>
      <c r="J1037" s="550"/>
      <c r="K1037" s="551"/>
      <c r="L1037" s="551"/>
      <c r="M1037" s="551"/>
      <c r="N1037" s="387"/>
      <c r="O1037" s="387"/>
      <c r="P1037" s="551"/>
      <c r="Q1037" s="394"/>
      <c r="R1037" s="551"/>
      <c r="S1037" s="395"/>
      <c r="T1037" s="395"/>
      <c r="U1037" s="395"/>
      <c r="V1037" s="395"/>
      <c r="W1037" s="395"/>
      <c r="X1037" s="622"/>
      <c r="Y1037" s="458"/>
      <c r="Z1037" s="458"/>
      <c r="AA1037" s="458"/>
    </row>
    <row r="1038" spans="1:27" s="303" customFormat="1" ht="14.25">
      <c r="A1038" s="384"/>
      <c r="B1038" s="384"/>
      <c r="C1038" s="384"/>
      <c r="D1038" s="384"/>
      <c r="E1038" s="384"/>
      <c r="F1038" s="384"/>
      <c r="G1038" s="388"/>
      <c r="H1038" s="389"/>
      <c r="I1038" s="388"/>
      <c r="J1038" s="391"/>
      <c r="K1038" s="392"/>
      <c r="L1038" s="392"/>
      <c r="M1038" s="392"/>
      <c r="N1038" s="388"/>
      <c r="O1038" s="388"/>
      <c r="P1038" s="392"/>
      <c r="Q1038" s="394"/>
      <c r="R1038" s="392"/>
      <c r="S1038" s="395"/>
      <c r="T1038" s="396"/>
      <c r="U1038" s="396"/>
      <c r="V1038" s="396"/>
      <c r="W1038" s="396"/>
      <c r="X1038" s="397"/>
      <c r="Y1038" s="339"/>
      <c r="Z1038" s="339"/>
      <c r="AA1038" s="339"/>
    </row>
    <row r="1039" spans="1:27" s="303" customFormat="1" ht="14.25">
      <c r="A1039" s="384"/>
      <c r="B1039" s="384"/>
      <c r="C1039" s="384"/>
      <c r="D1039" s="384"/>
      <c r="E1039" s="384"/>
      <c r="F1039" s="384"/>
      <c r="G1039" s="387"/>
      <c r="H1039" s="549"/>
      <c r="I1039" s="387"/>
      <c r="J1039" s="550"/>
      <c r="K1039" s="551"/>
      <c r="L1039" s="551"/>
      <c r="M1039" s="551"/>
      <c r="N1039" s="387"/>
      <c r="O1039" s="387"/>
      <c r="P1039" s="551"/>
      <c r="Q1039" s="394"/>
      <c r="R1039" s="551"/>
      <c r="S1039" s="395"/>
      <c r="T1039" s="395"/>
      <c r="U1039" s="395"/>
      <c r="V1039" s="395"/>
      <c r="W1039" s="395"/>
      <c r="X1039" s="622"/>
      <c r="Y1039" s="458"/>
      <c r="Z1039" s="458"/>
      <c r="AA1039" s="458"/>
    </row>
    <row r="1040" spans="1:27" s="303" customFormat="1" ht="14.25">
      <c r="A1040" s="384"/>
      <c r="B1040" s="384"/>
      <c r="C1040" s="384"/>
      <c r="D1040" s="384"/>
      <c r="E1040" s="384"/>
      <c r="F1040" s="384"/>
      <c r="G1040" s="388"/>
      <c r="H1040" s="389"/>
      <c r="I1040" s="388"/>
      <c r="J1040" s="391"/>
      <c r="K1040" s="392"/>
      <c r="L1040" s="392"/>
      <c r="M1040" s="392"/>
      <c r="N1040" s="388"/>
      <c r="O1040" s="388"/>
      <c r="P1040" s="392"/>
      <c r="Q1040" s="394"/>
      <c r="R1040" s="392"/>
      <c r="S1040" s="395"/>
      <c r="T1040" s="396"/>
      <c r="U1040" s="396"/>
      <c r="V1040" s="396"/>
      <c r="W1040" s="396"/>
      <c r="X1040" s="397"/>
      <c r="Y1040" s="339"/>
      <c r="Z1040" s="339"/>
      <c r="AA1040" s="339"/>
    </row>
    <row r="1041" spans="1:27" s="303" customFormat="1" ht="14.25">
      <c r="A1041" s="384"/>
      <c r="B1041" s="384"/>
      <c r="C1041" s="384"/>
      <c r="D1041" s="384"/>
      <c r="E1041" s="384"/>
      <c r="F1041" s="384"/>
      <c r="G1041" s="387"/>
      <c r="H1041" s="549"/>
      <c r="I1041" s="387"/>
      <c r="J1041" s="550"/>
      <c r="K1041" s="551"/>
      <c r="L1041" s="551"/>
      <c r="M1041" s="551"/>
      <c r="N1041" s="387"/>
      <c r="O1041" s="387"/>
      <c r="P1041" s="551"/>
      <c r="Q1041" s="394"/>
      <c r="R1041" s="551"/>
      <c r="S1041" s="395"/>
      <c r="T1041" s="395"/>
      <c r="U1041" s="395"/>
      <c r="V1041" s="395"/>
      <c r="W1041" s="395"/>
      <c r="X1041" s="622"/>
      <c r="Y1041" s="458"/>
      <c r="Z1041" s="458"/>
      <c r="AA1041" s="458"/>
    </row>
    <row r="1042" spans="1:27" s="303" customFormat="1" ht="14.25">
      <c r="A1042" s="384"/>
      <c r="B1042" s="384"/>
      <c r="C1042" s="384"/>
      <c r="D1042" s="384"/>
      <c r="E1042" s="384"/>
      <c r="F1042" s="384"/>
      <c r="G1042" s="388"/>
      <c r="H1042" s="389"/>
      <c r="I1042" s="388"/>
      <c r="J1042" s="391"/>
      <c r="K1042" s="392"/>
      <c r="L1042" s="392"/>
      <c r="M1042" s="392"/>
      <c r="N1042" s="388"/>
      <c r="O1042" s="388"/>
      <c r="P1042" s="392"/>
      <c r="Q1042" s="394"/>
      <c r="R1042" s="392"/>
      <c r="S1042" s="395"/>
      <c r="T1042" s="396"/>
      <c r="U1042" s="396"/>
      <c r="V1042" s="396"/>
      <c r="W1042" s="396"/>
      <c r="X1042" s="397"/>
      <c r="Y1042" s="339"/>
      <c r="Z1042" s="339"/>
      <c r="AA1042" s="339"/>
    </row>
    <row r="1043" spans="1:27" s="303" customFormat="1" ht="14.25">
      <c r="A1043" s="384"/>
      <c r="B1043" s="384"/>
      <c r="C1043" s="384"/>
      <c r="D1043" s="384"/>
      <c r="E1043" s="384"/>
      <c r="F1043" s="384"/>
      <c r="G1043" s="387"/>
      <c r="H1043" s="549"/>
      <c r="I1043" s="387"/>
      <c r="J1043" s="550"/>
      <c r="K1043" s="551"/>
      <c r="L1043" s="551"/>
      <c r="M1043" s="551"/>
      <c r="N1043" s="387"/>
      <c r="O1043" s="387"/>
      <c r="P1043" s="551"/>
      <c r="Q1043" s="394"/>
      <c r="R1043" s="551"/>
      <c r="S1043" s="395"/>
      <c r="T1043" s="395"/>
      <c r="U1043" s="395"/>
      <c r="V1043" s="395"/>
      <c r="W1043" s="395"/>
      <c r="X1043" s="622"/>
      <c r="Y1043" s="458"/>
      <c r="Z1043" s="458"/>
      <c r="AA1043" s="458"/>
    </row>
    <row r="1044" spans="1:27" s="303" customFormat="1" ht="14.25">
      <c r="A1044" s="384"/>
      <c r="B1044" s="384"/>
      <c r="C1044" s="384"/>
      <c r="D1044" s="384"/>
      <c r="E1044" s="384"/>
      <c r="F1044" s="384"/>
      <c r="G1044" s="388"/>
      <c r="H1044" s="389"/>
      <c r="I1044" s="388"/>
      <c r="J1044" s="391"/>
      <c r="K1044" s="392"/>
      <c r="L1044" s="392"/>
      <c r="M1044" s="392"/>
      <c r="N1044" s="388"/>
      <c r="O1044" s="388"/>
      <c r="P1044" s="392"/>
      <c r="Q1044" s="394"/>
      <c r="R1044" s="392"/>
      <c r="S1044" s="395"/>
      <c r="T1044" s="396"/>
      <c r="U1044" s="396"/>
      <c r="V1044" s="396"/>
      <c r="W1044" s="396"/>
      <c r="X1044" s="397"/>
      <c r="Y1044" s="339"/>
      <c r="Z1044" s="339"/>
      <c r="AA1044" s="339"/>
    </row>
    <row r="1045" spans="1:27" s="303" customFormat="1" ht="14.25">
      <c r="A1045" s="384"/>
      <c r="B1045" s="384"/>
      <c r="C1045" s="384"/>
      <c r="D1045" s="384"/>
      <c r="E1045" s="384"/>
      <c r="F1045" s="384"/>
      <c r="G1045" s="387"/>
      <c r="H1045" s="549"/>
      <c r="I1045" s="387"/>
      <c r="J1045" s="550"/>
      <c r="K1045" s="551"/>
      <c r="L1045" s="551"/>
      <c r="M1045" s="551"/>
      <c r="N1045" s="387"/>
      <c r="O1045" s="387"/>
      <c r="P1045" s="551"/>
      <c r="Q1045" s="394"/>
      <c r="R1045" s="551"/>
      <c r="S1045" s="395"/>
      <c r="T1045" s="395"/>
      <c r="U1045" s="395"/>
      <c r="V1045" s="395"/>
      <c r="W1045" s="395"/>
      <c r="X1045" s="622"/>
      <c r="Y1045" s="458"/>
      <c r="Z1045" s="458"/>
      <c r="AA1045" s="458"/>
    </row>
    <row r="1046" spans="1:27" s="303" customFormat="1" ht="14.25">
      <c r="A1046" s="384"/>
      <c r="B1046" s="384"/>
      <c r="C1046" s="384"/>
      <c r="D1046" s="384"/>
      <c r="E1046" s="384"/>
      <c r="F1046" s="384"/>
      <c r="G1046" s="388"/>
      <c r="H1046" s="389"/>
      <c r="I1046" s="388"/>
      <c r="J1046" s="391"/>
      <c r="K1046" s="392"/>
      <c r="L1046" s="392"/>
      <c r="M1046" s="392"/>
      <c r="N1046" s="388"/>
      <c r="O1046" s="388"/>
      <c r="P1046" s="392"/>
      <c r="Q1046" s="394"/>
      <c r="R1046" s="392"/>
      <c r="S1046" s="395"/>
      <c r="T1046" s="396"/>
      <c r="U1046" s="396"/>
      <c r="V1046" s="396"/>
      <c r="W1046" s="396"/>
      <c r="X1046" s="397"/>
      <c r="Y1046" s="339"/>
      <c r="Z1046" s="339"/>
      <c r="AA1046" s="339"/>
    </row>
    <row r="1047" spans="1:27" s="303" customFormat="1" ht="14.25">
      <c r="A1047" s="384"/>
      <c r="B1047" s="384"/>
      <c r="C1047" s="384"/>
      <c r="D1047" s="384"/>
      <c r="E1047" s="384"/>
      <c r="F1047" s="384"/>
      <c r="G1047" s="387"/>
      <c r="H1047" s="549"/>
      <c r="I1047" s="387"/>
      <c r="J1047" s="550"/>
      <c r="K1047" s="551"/>
      <c r="L1047" s="551"/>
      <c r="M1047" s="551"/>
      <c r="N1047" s="387"/>
      <c r="O1047" s="387"/>
      <c r="P1047" s="551"/>
      <c r="Q1047" s="394"/>
      <c r="R1047" s="551"/>
      <c r="S1047" s="395"/>
      <c r="T1047" s="395"/>
      <c r="U1047" s="395"/>
      <c r="V1047" s="395"/>
      <c r="W1047" s="395"/>
      <c r="X1047" s="622"/>
      <c r="Y1047" s="458"/>
      <c r="Z1047" s="458"/>
      <c r="AA1047" s="458"/>
    </row>
    <row r="1048" spans="1:27" s="303" customFormat="1" ht="14.25">
      <c r="A1048" s="384"/>
      <c r="B1048" s="384"/>
      <c r="C1048" s="384"/>
      <c r="D1048" s="384"/>
      <c r="E1048" s="384"/>
      <c r="F1048" s="384"/>
      <c r="G1048" s="388"/>
      <c r="H1048" s="389"/>
      <c r="I1048" s="388"/>
      <c r="J1048" s="391"/>
      <c r="K1048" s="392"/>
      <c r="L1048" s="392"/>
      <c r="M1048" s="392"/>
      <c r="N1048" s="388"/>
      <c r="O1048" s="388"/>
      <c r="P1048" s="392"/>
      <c r="Q1048" s="394"/>
      <c r="R1048" s="392"/>
      <c r="S1048" s="395"/>
      <c r="T1048" s="396"/>
      <c r="U1048" s="396"/>
      <c r="V1048" s="396"/>
      <c r="W1048" s="396"/>
      <c r="X1048" s="397"/>
      <c r="Y1048" s="339"/>
      <c r="Z1048" s="339"/>
      <c r="AA1048" s="339"/>
    </row>
    <row r="1049" spans="1:27" s="303" customFormat="1" ht="14.25">
      <c r="A1049" s="384"/>
      <c r="B1049" s="384"/>
      <c r="C1049" s="384"/>
      <c r="D1049" s="384"/>
      <c r="E1049" s="384"/>
      <c r="F1049" s="384"/>
      <c r="G1049" s="387"/>
      <c r="H1049" s="549"/>
      <c r="I1049" s="387"/>
      <c r="J1049" s="550"/>
      <c r="K1049" s="551"/>
      <c r="L1049" s="551"/>
      <c r="M1049" s="551"/>
      <c r="N1049" s="387"/>
      <c r="O1049" s="387"/>
      <c r="P1049" s="551"/>
      <c r="Q1049" s="394"/>
      <c r="R1049" s="551"/>
      <c r="S1049" s="395"/>
      <c r="T1049" s="395"/>
      <c r="U1049" s="395"/>
      <c r="V1049" s="395"/>
      <c r="W1049" s="395"/>
      <c r="X1049" s="622"/>
      <c r="Y1049" s="458"/>
      <c r="Z1049" s="458"/>
      <c r="AA1049" s="458"/>
    </row>
    <row r="1050" spans="1:27" s="303" customFormat="1" ht="14.25">
      <c r="A1050" s="384"/>
      <c r="B1050" s="384"/>
      <c r="C1050" s="384"/>
      <c r="D1050" s="384"/>
      <c r="E1050" s="384"/>
      <c r="F1050" s="384"/>
      <c r="G1050" s="388"/>
      <c r="H1050" s="389"/>
      <c r="I1050" s="388"/>
      <c r="J1050" s="391"/>
      <c r="K1050" s="392"/>
      <c r="L1050" s="392"/>
      <c r="M1050" s="392"/>
      <c r="N1050" s="388"/>
      <c r="O1050" s="388"/>
      <c r="P1050" s="392"/>
      <c r="Q1050" s="394"/>
      <c r="R1050" s="392"/>
      <c r="S1050" s="395"/>
      <c r="T1050" s="396"/>
      <c r="U1050" s="396"/>
      <c r="V1050" s="396"/>
      <c r="W1050" s="396"/>
      <c r="X1050" s="397"/>
      <c r="Y1050" s="339"/>
      <c r="Z1050" s="339"/>
      <c r="AA1050" s="339"/>
    </row>
    <row r="1051" spans="1:27" s="303" customFormat="1" ht="14.25">
      <c r="A1051" s="384"/>
      <c r="B1051" s="384"/>
      <c r="C1051" s="384"/>
      <c r="D1051" s="384"/>
      <c r="E1051" s="384"/>
      <c r="F1051" s="384"/>
      <c r="G1051" s="387"/>
      <c r="H1051" s="549"/>
      <c r="I1051" s="387"/>
      <c r="J1051" s="550"/>
      <c r="K1051" s="551"/>
      <c r="L1051" s="551"/>
      <c r="M1051" s="551"/>
      <c r="N1051" s="387"/>
      <c r="O1051" s="387"/>
      <c r="P1051" s="551"/>
      <c r="Q1051" s="394"/>
      <c r="R1051" s="551"/>
      <c r="S1051" s="395"/>
      <c r="T1051" s="395"/>
      <c r="U1051" s="395"/>
      <c r="V1051" s="395"/>
      <c r="W1051" s="395"/>
      <c r="X1051" s="622"/>
      <c r="Y1051" s="458"/>
      <c r="Z1051" s="458"/>
      <c r="AA1051" s="458"/>
    </row>
    <row r="1052" spans="1:27" s="303" customFormat="1" ht="14.25">
      <c r="A1052" s="384"/>
      <c r="B1052" s="384"/>
      <c r="C1052" s="384"/>
      <c r="D1052" s="384"/>
      <c r="E1052" s="384"/>
      <c r="F1052" s="384"/>
      <c r="G1052" s="388"/>
      <c r="H1052" s="389"/>
      <c r="I1052" s="388"/>
      <c r="J1052" s="391"/>
      <c r="K1052" s="392"/>
      <c r="L1052" s="392"/>
      <c r="M1052" s="392"/>
      <c r="N1052" s="388"/>
      <c r="O1052" s="388"/>
      <c r="P1052" s="392"/>
      <c r="Q1052" s="394"/>
      <c r="R1052" s="392"/>
      <c r="S1052" s="395"/>
      <c r="T1052" s="396"/>
      <c r="U1052" s="396"/>
      <c r="V1052" s="396"/>
      <c r="W1052" s="396"/>
      <c r="X1052" s="397"/>
      <c r="Y1052" s="339"/>
      <c r="Z1052" s="339"/>
      <c r="AA1052" s="339"/>
    </row>
    <row r="1053" spans="1:27" s="303" customFormat="1" ht="14.25">
      <c r="A1053" s="384"/>
      <c r="B1053" s="384"/>
      <c r="C1053" s="384"/>
      <c r="D1053" s="384"/>
      <c r="E1053" s="384"/>
      <c r="F1053" s="384"/>
      <c r="G1053" s="387"/>
      <c r="H1053" s="549"/>
      <c r="I1053" s="387"/>
      <c r="J1053" s="550"/>
      <c r="K1053" s="551"/>
      <c r="L1053" s="551"/>
      <c r="M1053" s="551"/>
      <c r="N1053" s="387"/>
      <c r="O1053" s="387"/>
      <c r="P1053" s="551"/>
      <c r="Q1053" s="394"/>
      <c r="R1053" s="551"/>
      <c r="S1053" s="395"/>
      <c r="T1053" s="395"/>
      <c r="U1053" s="395"/>
      <c r="V1053" s="395"/>
      <c r="W1053" s="395"/>
      <c r="X1053" s="622"/>
      <c r="Y1053" s="458"/>
      <c r="Z1053" s="458"/>
      <c r="AA1053" s="458"/>
    </row>
    <row r="1054" spans="1:27" s="303" customFormat="1" ht="14.25">
      <c r="A1054" s="384"/>
      <c r="B1054" s="384"/>
      <c r="C1054" s="384"/>
      <c r="D1054" s="384"/>
      <c r="E1054" s="384"/>
      <c r="F1054" s="384"/>
      <c r="G1054" s="388"/>
      <c r="H1054" s="389"/>
      <c r="I1054" s="388"/>
      <c r="J1054" s="391"/>
      <c r="K1054" s="392"/>
      <c r="L1054" s="392"/>
      <c r="M1054" s="392"/>
      <c r="N1054" s="388"/>
      <c r="O1054" s="388"/>
      <c r="P1054" s="392"/>
      <c r="Q1054" s="394"/>
      <c r="R1054" s="392"/>
      <c r="S1054" s="395"/>
      <c r="T1054" s="396"/>
      <c r="U1054" s="396"/>
      <c r="V1054" s="396"/>
      <c r="W1054" s="396"/>
      <c r="X1054" s="397"/>
      <c r="Y1054" s="339"/>
      <c r="Z1054" s="339"/>
      <c r="AA1054" s="339"/>
    </row>
    <row r="1055" spans="1:27" s="303" customFormat="1" ht="14.25">
      <c r="A1055" s="384"/>
      <c r="B1055" s="384"/>
      <c r="C1055" s="384"/>
      <c r="D1055" s="384"/>
      <c r="E1055" s="384"/>
      <c r="F1055" s="384"/>
      <c r="G1055" s="387"/>
      <c r="H1055" s="549"/>
      <c r="I1055" s="387"/>
      <c r="J1055" s="550"/>
      <c r="K1055" s="551"/>
      <c r="L1055" s="551"/>
      <c r="M1055" s="551"/>
      <c r="N1055" s="387"/>
      <c r="O1055" s="387"/>
      <c r="P1055" s="551"/>
      <c r="Q1055" s="394"/>
      <c r="R1055" s="551"/>
      <c r="S1055" s="395"/>
      <c r="T1055" s="395"/>
      <c r="U1055" s="395"/>
      <c r="V1055" s="395"/>
      <c r="W1055" s="395"/>
      <c r="X1055" s="622"/>
      <c r="Y1055" s="458"/>
      <c r="Z1055" s="458"/>
      <c r="AA1055" s="458"/>
    </row>
    <row r="1056" spans="1:27" s="303" customFormat="1" ht="14.25">
      <c r="A1056" s="384"/>
      <c r="B1056" s="384"/>
      <c r="C1056" s="384"/>
      <c r="D1056" s="384"/>
      <c r="E1056" s="384"/>
      <c r="F1056" s="384"/>
      <c r="G1056" s="388"/>
      <c r="H1056" s="389"/>
      <c r="I1056" s="388"/>
      <c r="J1056" s="391"/>
      <c r="K1056" s="392"/>
      <c r="L1056" s="392"/>
      <c r="M1056" s="392"/>
      <c r="N1056" s="388"/>
      <c r="O1056" s="388"/>
      <c r="P1056" s="392"/>
      <c r="Q1056" s="394"/>
      <c r="R1056" s="392"/>
      <c r="S1056" s="395"/>
      <c r="T1056" s="396"/>
      <c r="U1056" s="396"/>
      <c r="V1056" s="396"/>
      <c r="W1056" s="396"/>
      <c r="X1056" s="397"/>
      <c r="Y1056" s="339"/>
      <c r="Z1056" s="339"/>
      <c r="AA1056" s="339"/>
    </row>
    <row r="1057" spans="1:27" s="303" customFormat="1" ht="14.25">
      <c r="A1057" s="384"/>
      <c r="B1057" s="384"/>
      <c r="C1057" s="384"/>
      <c r="D1057" s="384"/>
      <c r="E1057" s="384"/>
      <c r="F1057" s="384"/>
      <c r="G1057" s="387"/>
      <c r="H1057" s="549"/>
      <c r="I1057" s="387"/>
      <c r="J1057" s="550"/>
      <c r="K1057" s="551"/>
      <c r="L1057" s="551"/>
      <c r="M1057" s="551"/>
      <c r="N1057" s="387"/>
      <c r="O1057" s="387"/>
      <c r="P1057" s="551"/>
      <c r="Q1057" s="394"/>
      <c r="R1057" s="551"/>
      <c r="S1057" s="395"/>
      <c r="T1057" s="395"/>
      <c r="U1057" s="395"/>
      <c r="V1057" s="395"/>
      <c r="W1057" s="395"/>
      <c r="X1057" s="622"/>
      <c r="Y1057" s="458"/>
      <c r="Z1057" s="458"/>
      <c r="AA1057" s="458"/>
    </row>
    <row r="1058" spans="1:27" s="303" customFormat="1" ht="14.25">
      <c r="A1058" s="384"/>
      <c r="B1058" s="384"/>
      <c r="C1058" s="384"/>
      <c r="D1058" s="384"/>
      <c r="E1058" s="384"/>
      <c r="F1058" s="384"/>
      <c r="G1058" s="388"/>
      <c r="H1058" s="389"/>
      <c r="I1058" s="388"/>
      <c r="J1058" s="391"/>
      <c r="K1058" s="392"/>
      <c r="L1058" s="392"/>
      <c r="M1058" s="392"/>
      <c r="N1058" s="388"/>
      <c r="O1058" s="388"/>
      <c r="P1058" s="392"/>
      <c r="Q1058" s="394"/>
      <c r="R1058" s="392"/>
      <c r="S1058" s="395"/>
      <c r="T1058" s="396"/>
      <c r="U1058" s="396"/>
      <c r="V1058" s="396"/>
      <c r="W1058" s="396"/>
      <c r="X1058" s="397"/>
      <c r="Y1058" s="339"/>
      <c r="Z1058" s="339"/>
      <c r="AA1058" s="339"/>
    </row>
    <row r="1059" spans="1:27" s="303" customFormat="1" ht="14.25">
      <c r="A1059" s="384"/>
      <c r="B1059" s="384"/>
      <c r="C1059" s="384"/>
      <c r="D1059" s="384"/>
      <c r="E1059" s="384"/>
      <c r="F1059" s="384"/>
      <c r="G1059" s="387"/>
      <c r="H1059" s="549"/>
      <c r="I1059" s="387"/>
      <c r="J1059" s="550"/>
      <c r="K1059" s="551"/>
      <c r="L1059" s="551"/>
      <c r="M1059" s="551"/>
      <c r="N1059" s="387"/>
      <c r="O1059" s="387"/>
      <c r="P1059" s="551"/>
      <c r="Q1059" s="394"/>
      <c r="R1059" s="551"/>
      <c r="S1059" s="395"/>
      <c r="T1059" s="395"/>
      <c r="U1059" s="395"/>
      <c r="V1059" s="395"/>
      <c r="W1059" s="395"/>
      <c r="X1059" s="622"/>
      <c r="Y1059" s="458"/>
      <c r="Z1059" s="458"/>
      <c r="AA1059" s="458"/>
    </row>
    <row r="1060" spans="1:27" s="303" customFormat="1" ht="14.25">
      <c r="A1060" s="384"/>
      <c r="B1060" s="384"/>
      <c r="C1060" s="384"/>
      <c r="D1060" s="384"/>
      <c r="E1060" s="384"/>
      <c r="F1060" s="384"/>
      <c r="G1060" s="388"/>
      <c r="H1060" s="389"/>
      <c r="I1060" s="388"/>
      <c r="J1060" s="391"/>
      <c r="K1060" s="392"/>
      <c r="L1060" s="392"/>
      <c r="M1060" s="392"/>
      <c r="N1060" s="388"/>
      <c r="O1060" s="388"/>
      <c r="P1060" s="392"/>
      <c r="Q1060" s="394"/>
      <c r="R1060" s="392"/>
      <c r="S1060" s="395"/>
      <c r="T1060" s="396"/>
      <c r="U1060" s="396"/>
      <c r="V1060" s="396"/>
      <c r="W1060" s="396"/>
      <c r="X1060" s="397"/>
      <c r="Y1060" s="339"/>
      <c r="Z1060" s="339"/>
      <c r="AA1060" s="339"/>
    </row>
    <row r="1061" spans="1:27" s="303" customFormat="1" ht="14.25">
      <c r="A1061" s="384"/>
      <c r="B1061" s="384"/>
      <c r="C1061" s="384"/>
      <c r="D1061" s="384"/>
      <c r="E1061" s="384"/>
      <c r="F1061" s="384"/>
      <c r="G1061" s="387"/>
      <c r="H1061" s="549"/>
      <c r="I1061" s="387"/>
      <c r="J1061" s="550"/>
      <c r="K1061" s="551"/>
      <c r="L1061" s="551"/>
      <c r="M1061" s="551"/>
      <c r="N1061" s="387"/>
      <c r="O1061" s="387"/>
      <c r="P1061" s="551"/>
      <c r="Q1061" s="394"/>
      <c r="R1061" s="551"/>
      <c r="S1061" s="395"/>
      <c r="T1061" s="395"/>
      <c r="U1061" s="395"/>
      <c r="V1061" s="395"/>
      <c r="W1061" s="395"/>
      <c r="X1061" s="622"/>
      <c r="Y1061" s="458"/>
      <c r="Z1061" s="458"/>
      <c r="AA1061" s="458"/>
    </row>
    <row r="1062" spans="1:27" s="303" customFormat="1" ht="14.25">
      <c r="A1062" s="384"/>
      <c r="B1062" s="384"/>
      <c r="C1062" s="384"/>
      <c r="D1062" s="384"/>
      <c r="E1062" s="384"/>
      <c r="F1062" s="384"/>
      <c r="G1062" s="388"/>
      <c r="H1062" s="389"/>
      <c r="I1062" s="388"/>
      <c r="J1062" s="391"/>
      <c r="K1062" s="392"/>
      <c r="L1062" s="392"/>
      <c r="M1062" s="392"/>
      <c r="N1062" s="388"/>
      <c r="O1062" s="388"/>
      <c r="P1062" s="392"/>
      <c r="Q1062" s="394"/>
      <c r="R1062" s="392"/>
      <c r="S1062" s="395"/>
      <c r="T1062" s="396"/>
      <c r="U1062" s="396"/>
      <c r="V1062" s="396"/>
      <c r="W1062" s="396"/>
      <c r="X1062" s="397"/>
      <c r="Y1062" s="339"/>
      <c r="Z1062" s="339"/>
      <c r="AA1062" s="339"/>
    </row>
    <row r="1063" spans="1:27" s="303" customFormat="1" ht="14.25">
      <c r="A1063" s="384"/>
      <c r="B1063" s="384"/>
      <c r="C1063" s="384"/>
      <c r="D1063" s="384"/>
      <c r="E1063" s="384"/>
      <c r="F1063" s="384"/>
      <c r="G1063" s="387"/>
      <c r="H1063" s="549"/>
      <c r="I1063" s="387"/>
      <c r="J1063" s="550"/>
      <c r="K1063" s="551"/>
      <c r="L1063" s="551"/>
      <c r="M1063" s="551"/>
      <c r="N1063" s="387"/>
      <c r="O1063" s="387"/>
      <c r="P1063" s="551"/>
      <c r="Q1063" s="394"/>
      <c r="R1063" s="551"/>
      <c r="S1063" s="395"/>
      <c r="T1063" s="395"/>
      <c r="U1063" s="395"/>
      <c r="V1063" s="395"/>
      <c r="W1063" s="395"/>
      <c r="X1063" s="622"/>
      <c r="Y1063" s="458"/>
      <c r="Z1063" s="458"/>
      <c r="AA1063" s="458"/>
    </row>
    <row r="1064" spans="1:27" s="303" customFormat="1" ht="14.25">
      <c r="A1064" s="384"/>
      <c r="B1064" s="384"/>
      <c r="C1064" s="384"/>
      <c r="D1064" s="384"/>
      <c r="E1064" s="384"/>
      <c r="F1064" s="384"/>
      <c r="G1064" s="388"/>
      <c r="H1064" s="389"/>
      <c r="I1064" s="388"/>
      <c r="J1064" s="391"/>
      <c r="K1064" s="392"/>
      <c r="L1064" s="392"/>
      <c r="M1064" s="392"/>
      <c r="N1064" s="388"/>
      <c r="O1064" s="388"/>
      <c r="P1064" s="392"/>
      <c r="Q1064" s="394"/>
      <c r="R1064" s="392"/>
      <c r="S1064" s="395"/>
      <c r="T1064" s="396"/>
      <c r="U1064" s="396"/>
      <c r="V1064" s="396"/>
      <c r="W1064" s="396"/>
      <c r="X1064" s="397"/>
      <c r="Y1064" s="339"/>
      <c r="Z1064" s="339"/>
      <c r="AA1064" s="339"/>
    </row>
    <row r="1065" spans="1:27" s="303" customFormat="1" ht="14.25">
      <c r="A1065" s="384"/>
      <c r="B1065" s="384"/>
      <c r="C1065" s="384"/>
      <c r="D1065" s="384"/>
      <c r="E1065" s="384"/>
      <c r="F1065" s="384"/>
      <c r="G1065" s="387"/>
      <c r="H1065" s="549"/>
      <c r="I1065" s="387"/>
      <c r="J1065" s="550"/>
      <c r="K1065" s="551"/>
      <c r="L1065" s="551"/>
      <c r="M1065" s="551"/>
      <c r="N1065" s="387"/>
      <c r="O1065" s="387"/>
      <c r="P1065" s="551"/>
      <c r="Q1065" s="394"/>
      <c r="R1065" s="551"/>
      <c r="S1065" s="395"/>
      <c r="T1065" s="395"/>
      <c r="U1065" s="395"/>
      <c r="V1065" s="395"/>
      <c r="W1065" s="395"/>
      <c r="X1065" s="622"/>
      <c r="Y1065" s="458"/>
      <c r="Z1065" s="458"/>
      <c r="AA1065" s="458"/>
    </row>
    <row r="1066" spans="1:27" s="303" customFormat="1" ht="14.25">
      <c r="A1066" s="384"/>
      <c r="B1066" s="384"/>
      <c r="C1066" s="384"/>
      <c r="D1066" s="384"/>
      <c r="E1066" s="384"/>
      <c r="F1066" s="384"/>
      <c r="G1066" s="388"/>
      <c r="H1066" s="389"/>
      <c r="I1066" s="388"/>
      <c r="J1066" s="391"/>
      <c r="K1066" s="392"/>
      <c r="L1066" s="392"/>
      <c r="M1066" s="392"/>
      <c r="N1066" s="388"/>
      <c r="O1066" s="388"/>
      <c r="P1066" s="392"/>
      <c r="Q1066" s="394"/>
      <c r="R1066" s="392"/>
      <c r="S1066" s="395"/>
      <c r="T1066" s="396"/>
      <c r="U1066" s="396"/>
      <c r="V1066" s="396"/>
      <c r="W1066" s="396"/>
      <c r="X1066" s="397"/>
      <c r="Y1066" s="339"/>
      <c r="Z1066" s="339"/>
      <c r="AA1066" s="339"/>
    </row>
    <row r="1067" spans="1:27" s="303" customFormat="1" ht="14.25">
      <c r="A1067" s="384"/>
      <c r="B1067" s="384"/>
      <c r="C1067" s="384"/>
      <c r="D1067" s="384"/>
      <c r="E1067" s="384"/>
      <c r="F1067" s="384"/>
      <c r="G1067" s="387"/>
      <c r="H1067" s="549"/>
      <c r="I1067" s="387"/>
      <c r="J1067" s="550"/>
      <c r="K1067" s="551"/>
      <c r="L1067" s="551"/>
      <c r="M1067" s="551"/>
      <c r="N1067" s="387"/>
      <c r="O1067" s="387"/>
      <c r="P1067" s="551"/>
      <c r="Q1067" s="394"/>
      <c r="R1067" s="551"/>
      <c r="S1067" s="395"/>
      <c r="T1067" s="395"/>
      <c r="U1067" s="395"/>
      <c r="V1067" s="395"/>
      <c r="W1067" s="395"/>
      <c r="X1067" s="622"/>
      <c r="Y1067" s="458"/>
      <c r="Z1067" s="458"/>
      <c r="AA1067" s="458"/>
    </row>
    <row r="1068" spans="1:27" s="303" customFormat="1" ht="14.25">
      <c r="A1068" s="384"/>
      <c r="B1068" s="384"/>
      <c r="C1068" s="384"/>
      <c r="D1068" s="384"/>
      <c r="E1068" s="384"/>
      <c r="F1068" s="384"/>
      <c r="G1068" s="388"/>
      <c r="H1068" s="389"/>
      <c r="I1068" s="388"/>
      <c r="J1068" s="391"/>
      <c r="K1068" s="392"/>
      <c r="L1068" s="392"/>
      <c r="M1068" s="392"/>
      <c r="N1068" s="388"/>
      <c r="O1068" s="388"/>
      <c r="P1068" s="392"/>
      <c r="Q1068" s="394"/>
      <c r="R1068" s="392"/>
      <c r="S1068" s="395"/>
      <c r="T1068" s="396"/>
      <c r="U1068" s="396"/>
      <c r="V1068" s="396"/>
      <c r="W1068" s="396"/>
      <c r="X1068" s="397"/>
      <c r="Y1068" s="339"/>
      <c r="Z1068" s="339"/>
      <c r="AA1068" s="339"/>
    </row>
    <row r="1069" spans="1:27" s="303" customFormat="1" ht="14.25">
      <c r="A1069" s="384"/>
      <c r="B1069" s="384"/>
      <c r="C1069" s="384"/>
      <c r="D1069" s="384"/>
      <c r="E1069" s="384"/>
      <c r="F1069" s="384"/>
      <c r="G1069" s="387"/>
      <c r="H1069" s="549"/>
      <c r="I1069" s="387"/>
      <c r="J1069" s="550"/>
      <c r="K1069" s="551"/>
      <c r="L1069" s="551"/>
      <c r="M1069" s="551"/>
      <c r="N1069" s="387"/>
      <c r="O1069" s="387"/>
      <c r="P1069" s="551"/>
      <c r="Q1069" s="394"/>
      <c r="R1069" s="551"/>
      <c r="S1069" s="395"/>
      <c r="T1069" s="395"/>
      <c r="U1069" s="395"/>
      <c r="V1069" s="395"/>
      <c r="W1069" s="395"/>
      <c r="X1069" s="622"/>
      <c r="Y1069" s="458"/>
      <c r="Z1069" s="458"/>
      <c r="AA1069" s="458"/>
    </row>
    <row r="1070" spans="1:27" s="303" customFormat="1" ht="14.25">
      <c r="A1070" s="384"/>
      <c r="B1070" s="384"/>
      <c r="C1070" s="384"/>
      <c r="D1070" s="384"/>
      <c r="E1070" s="384"/>
      <c r="F1070" s="384"/>
      <c r="G1070" s="388"/>
      <c r="H1070" s="389"/>
      <c r="I1070" s="388"/>
      <c r="J1070" s="391"/>
      <c r="K1070" s="392"/>
      <c r="L1070" s="392"/>
      <c r="M1070" s="392"/>
      <c r="N1070" s="388"/>
      <c r="O1070" s="388"/>
      <c r="P1070" s="392"/>
      <c r="Q1070" s="394"/>
      <c r="R1070" s="392"/>
      <c r="S1070" s="395"/>
      <c r="T1070" s="396"/>
      <c r="U1070" s="396"/>
      <c r="V1070" s="396"/>
      <c r="W1070" s="396"/>
      <c r="X1070" s="397"/>
      <c r="Y1070" s="339"/>
      <c r="Z1070" s="339"/>
      <c r="AA1070" s="339"/>
    </row>
    <row r="1071" spans="1:27" s="303" customFormat="1" ht="14.25">
      <c r="A1071" s="384"/>
      <c r="B1071" s="384"/>
      <c r="C1071" s="384"/>
      <c r="D1071" s="384"/>
      <c r="E1071" s="384"/>
      <c r="F1071" s="384"/>
      <c r="G1071" s="387"/>
      <c r="H1071" s="549"/>
      <c r="I1071" s="387"/>
      <c r="J1071" s="550"/>
      <c r="K1071" s="551"/>
      <c r="L1071" s="551"/>
      <c r="M1071" s="551"/>
      <c r="N1071" s="387"/>
      <c r="O1071" s="387"/>
      <c r="P1071" s="551"/>
      <c r="Q1071" s="394"/>
      <c r="R1071" s="551"/>
      <c r="S1071" s="395"/>
      <c r="T1071" s="395"/>
      <c r="U1071" s="395"/>
      <c r="V1071" s="395"/>
      <c r="W1071" s="395"/>
      <c r="X1071" s="622"/>
      <c r="Y1071" s="458"/>
      <c r="Z1071" s="458"/>
      <c r="AA1071" s="458"/>
    </row>
    <row r="1072" spans="1:27" s="303" customFormat="1" ht="14.25">
      <c r="A1072" s="384"/>
      <c r="B1072" s="384"/>
      <c r="C1072" s="384"/>
      <c r="D1072" s="384"/>
      <c r="E1072" s="384"/>
      <c r="F1072" s="384"/>
      <c r="G1072" s="388"/>
      <c r="H1072" s="389"/>
      <c r="I1072" s="388"/>
      <c r="J1072" s="391"/>
      <c r="K1072" s="392"/>
      <c r="L1072" s="392"/>
      <c r="M1072" s="392"/>
      <c r="N1072" s="388"/>
      <c r="O1072" s="388"/>
      <c r="P1072" s="392"/>
      <c r="Q1072" s="394"/>
      <c r="R1072" s="392"/>
      <c r="S1072" s="395"/>
      <c r="T1072" s="396"/>
      <c r="U1072" s="396"/>
      <c r="V1072" s="396"/>
      <c r="W1072" s="396"/>
      <c r="X1072" s="397"/>
      <c r="Y1072" s="339"/>
      <c r="Z1072" s="339"/>
      <c r="AA1072" s="339"/>
    </row>
    <row r="1073" spans="1:27" s="303" customFormat="1" ht="14.25">
      <c r="A1073" s="384"/>
      <c r="B1073" s="384"/>
      <c r="C1073" s="384"/>
      <c r="D1073" s="384"/>
      <c r="E1073" s="384"/>
      <c r="F1073" s="384"/>
      <c r="G1073" s="387"/>
      <c r="H1073" s="549"/>
      <c r="I1073" s="387"/>
      <c r="J1073" s="550"/>
      <c r="K1073" s="551"/>
      <c r="L1073" s="551"/>
      <c r="M1073" s="551"/>
      <c r="N1073" s="387"/>
      <c r="O1073" s="387"/>
      <c r="P1073" s="551"/>
      <c r="Q1073" s="394"/>
      <c r="R1073" s="551"/>
      <c r="S1073" s="395"/>
      <c r="T1073" s="395"/>
      <c r="U1073" s="395"/>
      <c r="V1073" s="395"/>
      <c r="W1073" s="395"/>
      <c r="X1073" s="622"/>
      <c r="Y1073" s="458"/>
      <c r="Z1073" s="458"/>
      <c r="AA1073" s="458"/>
    </row>
    <row r="1074" spans="1:27" s="303" customFormat="1" ht="14.25">
      <c r="A1074" s="384"/>
      <c r="B1074" s="384"/>
      <c r="C1074" s="384"/>
      <c r="D1074" s="384"/>
      <c r="E1074" s="384"/>
      <c r="F1074" s="384"/>
      <c r="G1074" s="388"/>
      <c r="H1074" s="389"/>
      <c r="I1074" s="388"/>
      <c r="J1074" s="391"/>
      <c r="K1074" s="392"/>
      <c r="L1074" s="392"/>
      <c r="M1074" s="392"/>
      <c r="N1074" s="388"/>
      <c r="O1074" s="388"/>
      <c r="P1074" s="392"/>
      <c r="Q1074" s="394"/>
      <c r="R1074" s="392"/>
      <c r="S1074" s="395"/>
      <c r="T1074" s="396"/>
      <c r="U1074" s="396"/>
      <c r="V1074" s="396"/>
      <c r="W1074" s="396"/>
      <c r="X1074" s="397"/>
      <c r="Y1074" s="339"/>
      <c r="Z1074" s="339"/>
      <c r="AA1074" s="339"/>
    </row>
    <row r="1075" spans="1:27" s="303" customFormat="1" ht="14.25">
      <c r="A1075" s="384"/>
      <c r="B1075" s="384"/>
      <c r="C1075" s="384"/>
      <c r="D1075" s="384"/>
      <c r="E1075" s="384"/>
      <c r="F1075" s="384"/>
      <c r="G1075" s="387"/>
      <c r="H1075" s="549"/>
      <c r="I1075" s="387"/>
      <c r="J1075" s="550"/>
      <c r="K1075" s="551"/>
      <c r="L1075" s="551"/>
      <c r="M1075" s="551"/>
      <c r="N1075" s="387"/>
      <c r="O1075" s="387"/>
      <c r="P1075" s="551"/>
      <c r="Q1075" s="394"/>
      <c r="R1075" s="551"/>
      <c r="S1075" s="395"/>
      <c r="T1075" s="395"/>
      <c r="U1075" s="395"/>
      <c r="V1075" s="395"/>
      <c r="W1075" s="395"/>
      <c r="X1075" s="622"/>
      <c r="Y1075" s="458"/>
      <c r="Z1075" s="458"/>
      <c r="AA1075" s="458"/>
    </row>
    <row r="1076" spans="1:27" s="303" customFormat="1" ht="14.25">
      <c r="A1076" s="384"/>
      <c r="B1076" s="384"/>
      <c r="C1076" s="384"/>
      <c r="D1076" s="384"/>
      <c r="E1076" s="384"/>
      <c r="F1076" s="384"/>
      <c r="G1076" s="388"/>
      <c r="H1076" s="389"/>
      <c r="I1076" s="388"/>
      <c r="J1076" s="391"/>
      <c r="K1076" s="392"/>
      <c r="L1076" s="392"/>
      <c r="M1076" s="392"/>
      <c r="N1076" s="388"/>
      <c r="O1076" s="388"/>
      <c r="P1076" s="392"/>
      <c r="Q1076" s="394"/>
      <c r="R1076" s="392"/>
      <c r="S1076" s="395"/>
      <c r="T1076" s="396"/>
      <c r="U1076" s="396"/>
      <c r="V1076" s="396"/>
      <c r="W1076" s="396"/>
      <c r="X1076" s="397"/>
      <c r="Y1076" s="339"/>
      <c r="Z1076" s="339"/>
      <c r="AA1076" s="339"/>
    </row>
    <row r="1077" spans="1:27" s="303" customFormat="1" ht="14.25">
      <c r="A1077" s="384"/>
      <c r="B1077" s="384"/>
      <c r="C1077" s="384"/>
      <c r="D1077" s="384"/>
      <c r="E1077" s="384"/>
      <c r="F1077" s="384"/>
      <c r="G1077" s="387"/>
      <c r="H1077" s="549"/>
      <c r="I1077" s="387"/>
      <c r="J1077" s="550"/>
      <c r="K1077" s="551"/>
      <c r="L1077" s="551"/>
      <c r="M1077" s="551"/>
      <c r="N1077" s="387"/>
      <c r="O1077" s="387"/>
      <c r="P1077" s="551"/>
      <c r="Q1077" s="394"/>
      <c r="R1077" s="551"/>
      <c r="S1077" s="395"/>
      <c r="T1077" s="395"/>
      <c r="U1077" s="395"/>
      <c r="V1077" s="395"/>
      <c r="W1077" s="395"/>
      <c r="X1077" s="622"/>
      <c r="Y1077" s="458"/>
      <c r="Z1077" s="458"/>
      <c r="AA1077" s="458"/>
    </row>
    <row r="1078" spans="1:27" s="303" customFormat="1" ht="14.25">
      <c r="A1078" s="384"/>
      <c r="B1078" s="384"/>
      <c r="C1078" s="384"/>
      <c r="D1078" s="384"/>
      <c r="E1078" s="384"/>
      <c r="F1078" s="384"/>
      <c r="G1078" s="388"/>
      <c r="H1078" s="389"/>
      <c r="I1078" s="388"/>
      <c r="J1078" s="391"/>
      <c r="K1078" s="392"/>
      <c r="L1078" s="392"/>
      <c r="M1078" s="392"/>
      <c r="N1078" s="388"/>
      <c r="O1078" s="388"/>
      <c r="P1078" s="392"/>
      <c r="Q1078" s="394"/>
      <c r="R1078" s="392"/>
      <c r="S1078" s="395"/>
      <c r="T1078" s="396"/>
      <c r="U1078" s="396"/>
      <c r="V1078" s="396"/>
      <c r="W1078" s="396"/>
      <c r="X1078" s="397"/>
      <c r="Y1078" s="339"/>
      <c r="Z1078" s="339"/>
      <c r="AA1078" s="339"/>
    </row>
    <row r="1079" spans="1:27" s="303" customFormat="1" ht="14.25">
      <c r="A1079" s="384"/>
      <c r="B1079" s="384"/>
      <c r="C1079" s="384"/>
      <c r="D1079" s="384"/>
      <c r="E1079" s="384"/>
      <c r="F1079" s="384"/>
      <c r="G1079" s="387"/>
      <c r="H1079" s="549"/>
      <c r="I1079" s="387"/>
      <c r="J1079" s="550"/>
      <c r="K1079" s="551"/>
      <c r="L1079" s="551"/>
      <c r="M1079" s="551"/>
      <c r="N1079" s="387"/>
      <c r="O1079" s="387"/>
      <c r="P1079" s="551"/>
      <c r="Q1079" s="394"/>
      <c r="R1079" s="551"/>
      <c r="S1079" s="395"/>
      <c r="T1079" s="395"/>
      <c r="U1079" s="395"/>
      <c r="V1079" s="395"/>
      <c r="W1079" s="395"/>
      <c r="X1079" s="622"/>
      <c r="Y1079" s="458"/>
      <c r="Z1079" s="458"/>
      <c r="AA1079" s="458"/>
    </row>
    <row r="1080" spans="1:27" s="303" customFormat="1" ht="14.25">
      <c r="A1080" s="384"/>
      <c r="B1080" s="384"/>
      <c r="C1080" s="384"/>
      <c r="D1080" s="384"/>
      <c r="E1080" s="384"/>
      <c r="F1080" s="384"/>
      <c r="G1080" s="388"/>
      <c r="H1080" s="389"/>
      <c r="I1080" s="388"/>
      <c r="J1080" s="391"/>
      <c r="K1080" s="392"/>
      <c r="L1080" s="392"/>
      <c r="M1080" s="392"/>
      <c r="N1080" s="388"/>
      <c r="O1080" s="388"/>
      <c r="P1080" s="392"/>
      <c r="Q1080" s="394"/>
      <c r="R1080" s="392"/>
      <c r="S1080" s="395"/>
      <c r="T1080" s="396"/>
      <c r="U1080" s="396"/>
      <c r="V1080" s="396"/>
      <c r="W1080" s="396"/>
      <c r="X1080" s="397"/>
      <c r="Y1080" s="339"/>
      <c r="Z1080" s="339"/>
      <c r="AA1080" s="339"/>
    </row>
    <row r="1081" spans="1:27" s="303" customFormat="1" ht="14.25">
      <c r="A1081" s="384"/>
      <c r="B1081" s="384"/>
      <c r="C1081" s="384"/>
      <c r="D1081" s="384"/>
      <c r="E1081" s="384"/>
      <c r="F1081" s="384"/>
      <c r="G1081" s="387"/>
      <c r="H1081" s="549"/>
      <c r="I1081" s="387"/>
      <c r="J1081" s="550"/>
      <c r="K1081" s="551"/>
      <c r="L1081" s="551"/>
      <c r="M1081" s="551"/>
      <c r="N1081" s="387"/>
      <c r="O1081" s="387"/>
      <c r="P1081" s="551"/>
      <c r="Q1081" s="394"/>
      <c r="R1081" s="551"/>
      <c r="S1081" s="395"/>
      <c r="T1081" s="395"/>
      <c r="U1081" s="395"/>
      <c r="V1081" s="395"/>
      <c r="W1081" s="395"/>
      <c r="X1081" s="622"/>
      <c r="Y1081" s="458"/>
      <c r="Z1081" s="458"/>
      <c r="AA1081" s="458"/>
    </row>
    <row r="1082" spans="1:27" s="303" customFormat="1" ht="14.25">
      <c r="A1082" s="384"/>
      <c r="B1082" s="384"/>
      <c r="C1082" s="384"/>
      <c r="D1082" s="384"/>
      <c r="E1082" s="384"/>
      <c r="F1082" s="384"/>
      <c r="G1082" s="388"/>
      <c r="H1082" s="389"/>
      <c r="I1082" s="388"/>
      <c r="J1082" s="391"/>
      <c r="K1082" s="392"/>
      <c r="L1082" s="392"/>
      <c r="M1082" s="392"/>
      <c r="N1082" s="388"/>
      <c r="O1082" s="388"/>
      <c r="P1082" s="392"/>
      <c r="Q1082" s="394"/>
      <c r="R1082" s="392"/>
      <c r="S1082" s="395"/>
      <c r="T1082" s="396"/>
      <c r="U1082" s="396"/>
      <c r="V1082" s="396"/>
      <c r="W1082" s="396"/>
      <c r="X1082" s="397"/>
      <c r="Y1082" s="339"/>
      <c r="Z1082" s="339"/>
      <c r="AA1082" s="339"/>
    </row>
    <row r="1083" spans="1:27" s="303" customFormat="1" ht="14.25">
      <c r="A1083" s="384"/>
      <c r="B1083" s="384"/>
      <c r="C1083" s="384"/>
      <c r="D1083" s="384"/>
      <c r="E1083" s="384"/>
      <c r="F1083" s="384"/>
      <c r="G1083" s="387"/>
      <c r="H1083" s="549"/>
      <c r="I1083" s="387"/>
      <c r="J1083" s="550"/>
      <c r="K1083" s="551"/>
      <c r="L1083" s="551"/>
      <c r="M1083" s="551"/>
      <c r="N1083" s="387"/>
      <c r="O1083" s="387"/>
      <c r="P1083" s="551"/>
      <c r="Q1083" s="394"/>
      <c r="R1083" s="551"/>
      <c r="S1083" s="395"/>
      <c r="T1083" s="395"/>
      <c r="U1083" s="395"/>
      <c r="V1083" s="395"/>
      <c r="W1083" s="395"/>
      <c r="X1083" s="622"/>
      <c r="Y1083" s="458"/>
      <c r="Z1083" s="458"/>
      <c r="AA1083" s="458"/>
    </row>
    <row r="1084" spans="1:27" s="303" customFormat="1" ht="14.25">
      <c r="A1084" s="384"/>
      <c r="B1084" s="384"/>
      <c r="C1084" s="384"/>
      <c r="D1084" s="384"/>
      <c r="E1084" s="384"/>
      <c r="F1084" s="384"/>
      <c r="G1084" s="388"/>
      <c r="H1084" s="389"/>
      <c r="I1084" s="388"/>
      <c r="J1084" s="391"/>
      <c r="K1084" s="392"/>
      <c r="L1084" s="392"/>
      <c r="M1084" s="392"/>
      <c r="N1084" s="388"/>
      <c r="O1084" s="388"/>
      <c r="P1084" s="392"/>
      <c r="Q1084" s="394"/>
      <c r="R1084" s="392"/>
      <c r="S1084" s="395"/>
      <c r="T1084" s="396"/>
      <c r="U1084" s="396"/>
      <c r="V1084" s="396"/>
      <c r="W1084" s="396"/>
      <c r="X1084" s="397"/>
      <c r="Y1084" s="339"/>
      <c r="Z1084" s="339"/>
      <c r="AA1084" s="339"/>
    </row>
    <row r="1085" spans="1:27" s="303" customFormat="1" ht="14.25">
      <c r="A1085" s="384"/>
      <c r="B1085" s="384"/>
      <c r="C1085" s="384"/>
      <c r="D1085" s="384"/>
      <c r="E1085" s="384"/>
      <c r="F1085" s="384"/>
      <c r="G1085" s="387"/>
      <c r="H1085" s="549"/>
      <c r="I1085" s="387"/>
      <c r="J1085" s="550"/>
      <c r="K1085" s="551"/>
      <c r="L1085" s="551"/>
      <c r="M1085" s="551"/>
      <c r="N1085" s="387"/>
      <c r="O1085" s="387"/>
      <c r="P1085" s="551"/>
      <c r="Q1085" s="394"/>
      <c r="R1085" s="551"/>
      <c r="S1085" s="395"/>
      <c r="T1085" s="395"/>
      <c r="U1085" s="395"/>
      <c r="V1085" s="395"/>
      <c r="W1085" s="395"/>
      <c r="X1085" s="622"/>
      <c r="Y1085" s="458"/>
      <c r="Z1085" s="458"/>
      <c r="AA1085" s="458"/>
    </row>
    <row r="1086" spans="1:27" s="303" customFormat="1" ht="14.25">
      <c r="A1086" s="384"/>
      <c r="B1086" s="384"/>
      <c r="C1086" s="384"/>
      <c r="D1086" s="384"/>
      <c r="E1086" s="384"/>
      <c r="F1086" s="384"/>
      <c r="G1086" s="388"/>
      <c r="H1086" s="389"/>
      <c r="I1086" s="388"/>
      <c r="J1086" s="391"/>
      <c r="K1086" s="392"/>
      <c r="L1086" s="392"/>
      <c r="M1086" s="392"/>
      <c r="N1086" s="388"/>
      <c r="O1086" s="388"/>
      <c r="P1086" s="392"/>
      <c r="Q1086" s="394"/>
      <c r="R1086" s="392"/>
      <c r="S1086" s="395"/>
      <c r="T1086" s="396"/>
      <c r="U1086" s="396"/>
      <c r="V1086" s="396"/>
      <c r="W1086" s="396"/>
      <c r="X1086" s="397"/>
      <c r="Y1086" s="339"/>
      <c r="Z1086" s="339"/>
      <c r="AA1086" s="339"/>
    </row>
    <row r="1087" spans="1:27" s="303" customFormat="1" ht="14.25">
      <c r="A1087" s="384"/>
      <c r="B1087" s="384"/>
      <c r="C1087" s="384"/>
      <c r="D1087" s="384"/>
      <c r="E1087" s="384"/>
      <c r="F1087" s="384"/>
      <c r="G1087" s="387"/>
      <c r="H1087" s="549"/>
      <c r="I1087" s="387"/>
      <c r="J1087" s="550"/>
      <c r="K1087" s="551"/>
      <c r="L1087" s="551"/>
      <c r="M1087" s="551"/>
      <c r="N1087" s="387"/>
      <c r="O1087" s="387"/>
      <c r="P1087" s="551"/>
      <c r="Q1087" s="394"/>
      <c r="R1087" s="551"/>
      <c r="S1087" s="395"/>
      <c r="T1087" s="395"/>
      <c r="U1087" s="395"/>
      <c r="V1087" s="395"/>
      <c r="W1087" s="395"/>
      <c r="X1087" s="622"/>
      <c r="Y1087" s="458"/>
      <c r="Z1087" s="458"/>
      <c r="AA1087" s="458"/>
    </row>
    <row r="1088" spans="1:27" s="303" customFormat="1" ht="14.25">
      <c r="A1088" s="384"/>
      <c r="B1088" s="384"/>
      <c r="C1088" s="384"/>
      <c r="D1088" s="384"/>
      <c r="E1088" s="384"/>
      <c r="F1088" s="384"/>
      <c r="G1088" s="388"/>
      <c r="H1088" s="389"/>
      <c r="I1088" s="388"/>
      <c r="J1088" s="391"/>
      <c r="K1088" s="392"/>
      <c r="L1088" s="392"/>
      <c r="M1088" s="392"/>
      <c r="N1088" s="388"/>
      <c r="O1088" s="388"/>
      <c r="P1088" s="392"/>
      <c r="Q1088" s="394"/>
      <c r="R1088" s="392"/>
      <c r="S1088" s="395"/>
      <c r="T1088" s="396"/>
      <c r="U1088" s="396"/>
      <c r="V1088" s="396"/>
      <c r="W1088" s="396"/>
      <c r="X1088" s="397"/>
      <c r="Y1088" s="339"/>
      <c r="Z1088" s="339"/>
      <c r="AA1088" s="339"/>
    </row>
    <row r="1089" spans="1:27" s="303" customFormat="1" ht="14.25">
      <c r="A1089" s="384"/>
      <c r="B1089" s="384"/>
      <c r="C1089" s="384"/>
      <c r="D1089" s="384"/>
      <c r="E1089" s="384"/>
      <c r="F1089" s="384"/>
      <c r="G1089" s="387"/>
      <c r="H1089" s="549"/>
      <c r="I1089" s="387"/>
      <c r="J1089" s="550"/>
      <c r="K1089" s="551"/>
      <c r="L1089" s="551"/>
      <c r="M1089" s="551"/>
      <c r="N1089" s="387"/>
      <c r="O1089" s="387"/>
      <c r="P1089" s="551"/>
      <c r="Q1089" s="394"/>
      <c r="R1089" s="551"/>
      <c r="S1089" s="395"/>
      <c r="T1089" s="395"/>
      <c r="U1089" s="395"/>
      <c r="V1089" s="395"/>
      <c r="W1089" s="395"/>
      <c r="X1089" s="622"/>
      <c r="Y1089" s="458"/>
      <c r="Z1089" s="458"/>
      <c r="AA1089" s="458"/>
    </row>
    <row r="1090" spans="1:27" s="303" customFormat="1" ht="14.25">
      <c r="A1090" s="384"/>
      <c r="B1090" s="384"/>
      <c r="C1090" s="384"/>
      <c r="D1090" s="384"/>
      <c r="E1090" s="384"/>
      <c r="F1090" s="384"/>
      <c r="G1090" s="388"/>
      <c r="H1090" s="389"/>
      <c r="I1090" s="388"/>
      <c r="J1090" s="391"/>
      <c r="K1090" s="392"/>
      <c r="L1090" s="392"/>
      <c r="M1090" s="392"/>
      <c r="N1090" s="388"/>
      <c r="O1090" s="388"/>
      <c r="P1090" s="392"/>
      <c r="Q1090" s="394"/>
      <c r="R1090" s="392"/>
      <c r="S1090" s="395"/>
      <c r="T1090" s="396"/>
      <c r="U1090" s="396"/>
      <c r="V1090" s="396"/>
      <c r="W1090" s="396"/>
      <c r="X1090" s="397"/>
      <c r="Y1090" s="339"/>
      <c r="Z1090" s="339"/>
      <c r="AA1090" s="339"/>
    </row>
    <row r="1091" spans="1:27" s="303" customFormat="1" ht="14.25">
      <c r="A1091" s="384"/>
      <c r="B1091" s="384"/>
      <c r="C1091" s="384"/>
      <c r="D1091" s="384"/>
      <c r="E1091" s="384"/>
      <c r="F1091" s="384"/>
      <c r="G1091" s="387"/>
      <c r="H1091" s="549"/>
      <c r="I1091" s="387"/>
      <c r="J1091" s="550"/>
      <c r="K1091" s="551"/>
      <c r="L1091" s="551"/>
      <c r="M1091" s="551"/>
      <c r="N1091" s="387"/>
      <c r="O1091" s="387"/>
      <c r="P1091" s="551"/>
      <c r="Q1091" s="394"/>
      <c r="R1091" s="551"/>
      <c r="S1091" s="395"/>
      <c r="T1091" s="395"/>
      <c r="U1091" s="395"/>
      <c r="V1091" s="395"/>
      <c r="W1091" s="395"/>
      <c r="X1091" s="622"/>
      <c r="Y1091" s="458"/>
      <c r="Z1091" s="458"/>
      <c r="AA1091" s="458"/>
    </row>
    <row r="1092" spans="1:27" s="303" customFormat="1" ht="14.25">
      <c r="A1092" s="384"/>
      <c r="B1092" s="384"/>
      <c r="C1092" s="384"/>
      <c r="D1092" s="384"/>
      <c r="E1092" s="384"/>
      <c r="F1092" s="384"/>
      <c r="G1092" s="388"/>
      <c r="H1092" s="389"/>
      <c r="I1092" s="388"/>
      <c r="J1092" s="391"/>
      <c r="K1092" s="392"/>
      <c r="L1092" s="392"/>
      <c r="M1092" s="392"/>
      <c r="N1092" s="388"/>
      <c r="O1092" s="388"/>
      <c r="P1092" s="392"/>
      <c r="Q1092" s="394"/>
      <c r="R1092" s="392"/>
      <c r="S1092" s="395"/>
      <c r="T1092" s="396"/>
      <c r="U1092" s="396"/>
      <c r="V1092" s="396"/>
      <c r="W1092" s="396"/>
      <c r="X1092" s="397"/>
      <c r="Y1092" s="339"/>
      <c r="Z1092" s="339"/>
      <c r="AA1092" s="339"/>
    </row>
    <row r="1093" spans="1:27" s="303" customFormat="1" ht="14.25">
      <c r="A1093" s="384"/>
      <c r="B1093" s="384"/>
      <c r="C1093" s="384"/>
      <c r="D1093" s="384"/>
      <c r="E1093" s="384"/>
      <c r="F1093" s="384"/>
      <c r="G1093" s="387"/>
      <c r="H1093" s="549"/>
      <c r="I1093" s="387"/>
      <c r="J1093" s="550"/>
      <c r="K1093" s="551"/>
      <c r="L1093" s="551"/>
      <c r="M1093" s="551"/>
      <c r="N1093" s="387"/>
      <c r="O1093" s="387"/>
      <c r="P1093" s="551"/>
      <c r="Q1093" s="394"/>
      <c r="R1093" s="551"/>
      <c r="S1093" s="395"/>
      <c r="T1093" s="395"/>
      <c r="U1093" s="395"/>
      <c r="V1093" s="395"/>
      <c r="W1093" s="395"/>
      <c r="X1093" s="622"/>
      <c r="Y1093" s="458"/>
      <c r="Z1093" s="458"/>
      <c r="AA1093" s="458"/>
    </row>
    <row r="1094" spans="1:27" s="303" customFormat="1" ht="14.25">
      <c r="A1094" s="384"/>
      <c r="B1094" s="384"/>
      <c r="C1094" s="384"/>
      <c r="D1094" s="384"/>
      <c r="E1094" s="384"/>
      <c r="F1094" s="384"/>
      <c r="G1094" s="388"/>
      <c r="H1094" s="389"/>
      <c r="I1094" s="388"/>
      <c r="J1094" s="391"/>
      <c r="K1094" s="392"/>
      <c r="L1094" s="392"/>
      <c r="M1094" s="392"/>
      <c r="N1094" s="388"/>
      <c r="O1094" s="388"/>
      <c r="P1094" s="392"/>
      <c r="Q1094" s="394"/>
      <c r="R1094" s="392"/>
      <c r="S1094" s="395"/>
      <c r="T1094" s="396"/>
      <c r="U1094" s="396"/>
      <c r="V1094" s="396"/>
      <c r="W1094" s="396"/>
      <c r="X1094" s="397"/>
      <c r="Y1094" s="339"/>
      <c r="Z1094" s="339"/>
      <c r="AA1094" s="339"/>
    </row>
    <row r="1095" spans="1:27" s="303" customFormat="1" ht="14.25">
      <c r="A1095" s="384"/>
      <c r="B1095" s="384"/>
      <c r="C1095" s="384"/>
      <c r="D1095" s="384"/>
      <c r="E1095" s="384"/>
      <c r="F1095" s="384"/>
      <c r="G1095" s="387"/>
      <c r="H1095" s="549"/>
      <c r="I1095" s="387"/>
      <c r="J1095" s="550"/>
      <c r="K1095" s="551"/>
      <c r="L1095" s="551"/>
      <c r="M1095" s="551"/>
      <c r="N1095" s="387"/>
      <c r="O1095" s="387"/>
      <c r="P1095" s="551"/>
      <c r="Q1095" s="394"/>
      <c r="R1095" s="551"/>
      <c r="S1095" s="395"/>
      <c r="T1095" s="395"/>
      <c r="U1095" s="395"/>
      <c r="V1095" s="395"/>
      <c r="W1095" s="395"/>
      <c r="X1095" s="622"/>
      <c r="Y1095" s="458"/>
      <c r="Z1095" s="458"/>
      <c r="AA1095" s="458"/>
    </row>
    <row r="1096" spans="1:27" s="303" customFormat="1" ht="14.25">
      <c r="A1096" s="384"/>
      <c r="B1096" s="384"/>
      <c r="C1096" s="384"/>
      <c r="D1096" s="384"/>
      <c r="E1096" s="384"/>
      <c r="F1096" s="384"/>
      <c r="G1096" s="388"/>
      <c r="H1096" s="389"/>
      <c r="I1096" s="388"/>
      <c r="J1096" s="391"/>
      <c r="K1096" s="392"/>
      <c r="L1096" s="392"/>
      <c r="M1096" s="392"/>
      <c r="N1096" s="388"/>
      <c r="O1096" s="388"/>
      <c r="P1096" s="392"/>
      <c r="Q1096" s="394"/>
      <c r="R1096" s="392"/>
      <c r="S1096" s="395"/>
      <c r="T1096" s="396"/>
      <c r="U1096" s="396"/>
      <c r="V1096" s="396"/>
      <c r="W1096" s="396"/>
      <c r="X1096" s="397"/>
      <c r="Y1096" s="339"/>
      <c r="Z1096" s="339"/>
      <c r="AA1096" s="339"/>
    </row>
    <row r="1097" spans="1:27" s="303" customFormat="1" ht="14.25">
      <c r="A1097" s="384"/>
      <c r="B1097" s="384"/>
      <c r="C1097" s="384"/>
      <c r="D1097" s="384"/>
      <c r="E1097" s="384"/>
      <c r="F1097" s="384"/>
      <c r="G1097" s="387"/>
      <c r="H1097" s="549"/>
      <c r="I1097" s="387"/>
      <c r="J1097" s="550"/>
      <c r="K1097" s="551"/>
      <c r="L1097" s="551"/>
      <c r="M1097" s="551"/>
      <c r="N1097" s="387"/>
      <c r="O1097" s="387"/>
      <c r="P1097" s="551"/>
      <c r="Q1097" s="394"/>
      <c r="R1097" s="551"/>
      <c r="S1097" s="395"/>
      <c r="T1097" s="395"/>
      <c r="U1097" s="395"/>
      <c r="V1097" s="395"/>
      <c r="W1097" s="395"/>
      <c r="X1097" s="622"/>
      <c r="Y1097" s="458"/>
      <c r="Z1097" s="458"/>
      <c r="AA1097" s="458"/>
    </row>
    <row r="1098" spans="1:27" s="303" customFormat="1" ht="14.25">
      <c r="A1098" s="384"/>
      <c r="B1098" s="384"/>
      <c r="C1098" s="384"/>
      <c r="D1098" s="384"/>
      <c r="E1098" s="384"/>
      <c r="F1098" s="384"/>
      <c r="G1098" s="388"/>
      <c r="H1098" s="389"/>
      <c r="I1098" s="388"/>
      <c r="J1098" s="391"/>
      <c r="K1098" s="392"/>
      <c r="L1098" s="392"/>
      <c r="M1098" s="392"/>
      <c r="N1098" s="388"/>
      <c r="O1098" s="388"/>
      <c r="P1098" s="392"/>
      <c r="Q1098" s="394"/>
      <c r="R1098" s="392"/>
      <c r="S1098" s="395"/>
      <c r="T1098" s="396"/>
      <c r="U1098" s="396"/>
      <c r="V1098" s="396"/>
      <c r="W1098" s="396"/>
      <c r="X1098" s="397"/>
      <c r="Y1098" s="339"/>
      <c r="Z1098" s="339"/>
      <c r="AA1098" s="339"/>
    </row>
    <row r="1099" spans="1:27" s="303" customFormat="1" ht="14.25">
      <c r="A1099" s="384"/>
      <c r="B1099" s="384"/>
      <c r="C1099" s="384"/>
      <c r="D1099" s="384"/>
      <c r="E1099" s="384"/>
      <c r="F1099" s="384"/>
      <c r="G1099" s="387"/>
      <c r="H1099" s="549"/>
      <c r="I1099" s="387"/>
      <c r="J1099" s="550"/>
      <c r="K1099" s="551"/>
      <c r="L1099" s="551"/>
      <c r="M1099" s="551"/>
      <c r="N1099" s="387"/>
      <c r="O1099" s="387"/>
      <c r="P1099" s="551"/>
      <c r="Q1099" s="394"/>
      <c r="R1099" s="551"/>
      <c r="S1099" s="395"/>
      <c r="T1099" s="395"/>
      <c r="U1099" s="395"/>
      <c r="V1099" s="395"/>
      <c r="W1099" s="395"/>
      <c r="X1099" s="622"/>
      <c r="Y1099" s="458"/>
      <c r="Z1099" s="458"/>
      <c r="AA1099" s="458"/>
    </row>
    <row r="1100" spans="1:27" s="303" customFormat="1" ht="14.25">
      <c r="A1100" s="384"/>
      <c r="B1100" s="384"/>
      <c r="C1100" s="384"/>
      <c r="D1100" s="384"/>
      <c r="E1100" s="384"/>
      <c r="F1100" s="384"/>
      <c r="G1100" s="388"/>
      <c r="H1100" s="389"/>
      <c r="I1100" s="388"/>
      <c r="J1100" s="391"/>
      <c r="K1100" s="392"/>
      <c r="L1100" s="392"/>
      <c r="M1100" s="392"/>
      <c r="N1100" s="388"/>
      <c r="O1100" s="388"/>
      <c r="P1100" s="392"/>
      <c r="Q1100" s="394"/>
      <c r="R1100" s="392"/>
      <c r="S1100" s="395"/>
      <c r="T1100" s="396"/>
      <c r="U1100" s="396"/>
      <c r="V1100" s="396"/>
      <c r="W1100" s="396"/>
      <c r="X1100" s="397"/>
      <c r="Y1100" s="339"/>
      <c r="Z1100" s="339"/>
      <c r="AA1100" s="339"/>
    </row>
    <row r="1101" spans="1:27" s="303" customFormat="1" ht="14.25">
      <c r="A1101" s="384"/>
      <c r="B1101" s="384"/>
      <c r="C1101" s="384"/>
      <c r="D1101" s="384"/>
      <c r="E1101" s="384"/>
      <c r="F1101" s="384"/>
      <c r="G1101" s="387"/>
      <c r="H1101" s="549"/>
      <c r="I1101" s="387"/>
      <c r="J1101" s="550"/>
      <c r="K1101" s="551"/>
      <c r="L1101" s="551"/>
      <c r="M1101" s="551"/>
      <c r="N1101" s="387"/>
      <c r="O1101" s="387"/>
      <c r="P1101" s="551"/>
      <c r="Q1101" s="394"/>
      <c r="R1101" s="551"/>
      <c r="S1101" s="395"/>
      <c r="T1101" s="395"/>
      <c r="U1101" s="395"/>
      <c r="V1101" s="395"/>
      <c r="W1101" s="395"/>
      <c r="X1101" s="622"/>
      <c r="Y1101" s="458"/>
      <c r="Z1101" s="458"/>
      <c r="AA1101" s="458"/>
    </row>
    <row r="1102" spans="1:27" s="303" customFormat="1" ht="14.25">
      <c r="A1102" s="384"/>
      <c r="B1102" s="384"/>
      <c r="C1102" s="384"/>
      <c r="D1102" s="384"/>
      <c r="E1102" s="384"/>
      <c r="F1102" s="384"/>
      <c r="G1102" s="388"/>
      <c r="H1102" s="389"/>
      <c r="I1102" s="388"/>
      <c r="J1102" s="391"/>
      <c r="K1102" s="392"/>
      <c r="L1102" s="392"/>
      <c r="M1102" s="392"/>
      <c r="N1102" s="388"/>
      <c r="O1102" s="388"/>
      <c r="P1102" s="392"/>
      <c r="Q1102" s="394"/>
      <c r="R1102" s="392"/>
      <c r="S1102" s="395"/>
      <c r="T1102" s="396"/>
      <c r="U1102" s="396"/>
      <c r="V1102" s="396"/>
      <c r="W1102" s="396"/>
      <c r="X1102" s="397"/>
      <c r="Y1102" s="339"/>
      <c r="Z1102" s="339"/>
      <c r="AA1102" s="339"/>
    </row>
    <row r="1103" spans="7:27" ht="14.25">
      <c r="G1103" s="387"/>
      <c r="H1103" s="549"/>
      <c r="I1103" s="387"/>
      <c r="J1103" s="550"/>
      <c r="K1103" s="551"/>
      <c r="L1103" s="551"/>
      <c r="M1103" s="551"/>
      <c r="N1103" s="387"/>
      <c r="O1103" s="387"/>
      <c r="P1103" s="551"/>
      <c r="Q1103" s="394"/>
      <c r="R1103" s="551"/>
      <c r="S1103" s="395"/>
      <c r="T1103" s="395"/>
      <c r="U1103" s="395"/>
      <c r="V1103" s="395"/>
      <c r="W1103" s="395"/>
      <c r="X1103" s="622"/>
      <c r="Y1103" s="458"/>
      <c r="Z1103" s="458"/>
      <c r="AA1103" s="458"/>
    </row>
    <row r="1104" spans="7:27" ht="14.25">
      <c r="G1104" s="388"/>
      <c r="H1104" s="389"/>
      <c r="I1104" s="388"/>
      <c r="J1104" s="391"/>
      <c r="K1104" s="392"/>
      <c r="L1104" s="392"/>
      <c r="M1104" s="392"/>
      <c r="N1104" s="388"/>
      <c r="O1104" s="388"/>
      <c r="P1104" s="392"/>
      <c r="Q1104" s="394"/>
      <c r="R1104" s="392"/>
      <c r="S1104" s="395"/>
      <c r="T1104" s="396"/>
      <c r="U1104" s="396"/>
      <c r="V1104" s="396"/>
      <c r="W1104" s="396"/>
      <c r="X1104" s="397"/>
      <c r="Y1104" s="339"/>
      <c r="Z1104" s="339"/>
      <c r="AA1104" s="339"/>
    </row>
    <row r="1105" spans="7:27" ht="14.25">
      <c r="G1105" s="387"/>
      <c r="H1105" s="549"/>
      <c r="I1105" s="387"/>
      <c r="J1105" s="550"/>
      <c r="K1105" s="551"/>
      <c r="L1105" s="551"/>
      <c r="M1105" s="551"/>
      <c r="N1105" s="387"/>
      <c r="O1105" s="387"/>
      <c r="P1105" s="551"/>
      <c r="Q1105" s="394"/>
      <c r="R1105" s="551"/>
      <c r="S1105" s="395"/>
      <c r="T1105" s="395"/>
      <c r="U1105" s="395"/>
      <c r="V1105" s="395"/>
      <c r="W1105" s="395"/>
      <c r="X1105" s="622"/>
      <c r="Y1105" s="458"/>
      <c r="Z1105" s="458"/>
      <c r="AA1105" s="458"/>
    </row>
    <row r="1106" spans="7:27" ht="14.25">
      <c r="G1106" s="388"/>
      <c r="H1106" s="389"/>
      <c r="I1106" s="388"/>
      <c r="J1106" s="391"/>
      <c r="K1106" s="392"/>
      <c r="L1106" s="392"/>
      <c r="M1106" s="392"/>
      <c r="N1106" s="388"/>
      <c r="O1106" s="388"/>
      <c r="P1106" s="392"/>
      <c r="Q1106" s="394"/>
      <c r="R1106" s="392"/>
      <c r="S1106" s="395"/>
      <c r="T1106" s="396"/>
      <c r="U1106" s="396"/>
      <c r="V1106" s="396"/>
      <c r="W1106" s="396"/>
      <c r="X1106" s="397"/>
      <c r="Y1106" s="339"/>
      <c r="Z1106" s="339"/>
      <c r="AA1106" s="339"/>
    </row>
    <row r="1107" spans="7:27" ht="14.25">
      <c r="G1107" s="387"/>
      <c r="H1107" s="549"/>
      <c r="I1107" s="387"/>
      <c r="J1107" s="550"/>
      <c r="K1107" s="551"/>
      <c r="L1107" s="551"/>
      <c r="M1107" s="551"/>
      <c r="N1107" s="387"/>
      <c r="O1107" s="387"/>
      <c r="P1107" s="551"/>
      <c r="Q1107" s="394"/>
      <c r="R1107" s="551"/>
      <c r="S1107" s="395"/>
      <c r="T1107" s="395"/>
      <c r="U1107" s="395"/>
      <c r="V1107" s="395"/>
      <c r="W1107" s="395"/>
      <c r="X1107" s="622"/>
      <c r="Y1107" s="458"/>
      <c r="Z1107" s="458"/>
      <c r="AA1107" s="458"/>
    </row>
    <row r="1108" spans="7:27" ht="14.25">
      <c r="G1108" s="388"/>
      <c r="H1108" s="389"/>
      <c r="I1108" s="388"/>
      <c r="J1108" s="391"/>
      <c r="K1108" s="392"/>
      <c r="L1108" s="392"/>
      <c r="M1108" s="392"/>
      <c r="N1108" s="388"/>
      <c r="O1108" s="388"/>
      <c r="P1108" s="392"/>
      <c r="Q1108" s="394"/>
      <c r="R1108" s="392"/>
      <c r="S1108" s="395"/>
      <c r="T1108" s="396"/>
      <c r="U1108" s="396"/>
      <c r="V1108" s="396"/>
      <c r="W1108" s="396"/>
      <c r="X1108" s="397"/>
      <c r="Y1108" s="339"/>
      <c r="Z1108" s="339"/>
      <c r="AA1108" s="339"/>
    </row>
    <row r="1109" spans="7:27" ht="14.25">
      <c r="G1109" s="387"/>
      <c r="H1109" s="549"/>
      <c r="I1109" s="387"/>
      <c r="J1109" s="550"/>
      <c r="K1109" s="551"/>
      <c r="L1109" s="551"/>
      <c r="M1109" s="551"/>
      <c r="N1109" s="387"/>
      <c r="O1109" s="387"/>
      <c r="P1109" s="551"/>
      <c r="Q1109" s="394"/>
      <c r="R1109" s="551"/>
      <c r="S1109" s="395"/>
      <c r="T1109" s="395"/>
      <c r="U1109" s="395"/>
      <c r="V1109" s="395"/>
      <c r="W1109" s="395"/>
      <c r="X1109" s="622"/>
      <c r="Y1109" s="458"/>
      <c r="Z1109" s="458"/>
      <c r="AA1109" s="458"/>
    </row>
    <row r="1110" spans="7:27" ht="14.25">
      <c r="G1110" s="388"/>
      <c r="H1110" s="389"/>
      <c r="I1110" s="388"/>
      <c r="J1110" s="391"/>
      <c r="K1110" s="392"/>
      <c r="L1110" s="392"/>
      <c r="M1110" s="392"/>
      <c r="N1110" s="388"/>
      <c r="O1110" s="388"/>
      <c r="P1110" s="392"/>
      <c r="Q1110" s="394"/>
      <c r="R1110" s="392"/>
      <c r="S1110" s="395"/>
      <c r="T1110" s="396"/>
      <c r="U1110" s="396"/>
      <c r="V1110" s="396"/>
      <c r="W1110" s="396"/>
      <c r="X1110" s="397"/>
      <c r="Y1110" s="339"/>
      <c r="Z1110" s="339"/>
      <c r="AA1110" s="339"/>
    </row>
    <row r="1111" spans="7:27" ht="14.25">
      <c r="G1111" s="387"/>
      <c r="H1111" s="549"/>
      <c r="I1111" s="387"/>
      <c r="J1111" s="550"/>
      <c r="K1111" s="551"/>
      <c r="L1111" s="551"/>
      <c r="M1111" s="551"/>
      <c r="N1111" s="387"/>
      <c r="O1111" s="387"/>
      <c r="P1111" s="551"/>
      <c r="Q1111" s="394"/>
      <c r="R1111" s="551"/>
      <c r="S1111" s="395"/>
      <c r="T1111" s="395"/>
      <c r="U1111" s="395"/>
      <c r="V1111" s="395"/>
      <c r="W1111" s="395"/>
      <c r="X1111" s="622"/>
      <c r="Y1111" s="458"/>
      <c r="Z1111" s="458"/>
      <c r="AA1111" s="458"/>
    </row>
    <row r="1112" spans="7:27" ht="14.25">
      <c r="G1112" s="388"/>
      <c r="H1112" s="389"/>
      <c r="I1112" s="388"/>
      <c r="J1112" s="391"/>
      <c r="K1112" s="392"/>
      <c r="L1112" s="392"/>
      <c r="M1112" s="392"/>
      <c r="N1112" s="388"/>
      <c r="O1112" s="388"/>
      <c r="P1112" s="392"/>
      <c r="Q1112" s="394"/>
      <c r="R1112" s="392"/>
      <c r="S1112" s="395"/>
      <c r="T1112" s="396"/>
      <c r="U1112" s="396"/>
      <c r="V1112" s="396"/>
      <c r="W1112" s="396"/>
      <c r="X1112" s="397"/>
      <c r="Y1112" s="339"/>
      <c r="Z1112" s="339"/>
      <c r="AA1112" s="339"/>
    </row>
    <row r="1113" spans="7:27" ht="14.25">
      <c r="G1113" s="387"/>
      <c r="H1113" s="549"/>
      <c r="I1113" s="387"/>
      <c r="J1113" s="550"/>
      <c r="K1113" s="551"/>
      <c r="L1113" s="551"/>
      <c r="M1113" s="551"/>
      <c r="N1113" s="387"/>
      <c r="O1113" s="387"/>
      <c r="P1113" s="551"/>
      <c r="Q1113" s="394"/>
      <c r="R1113" s="551"/>
      <c r="S1113" s="395"/>
      <c r="T1113" s="395"/>
      <c r="U1113" s="395"/>
      <c r="V1113" s="395"/>
      <c r="W1113" s="395"/>
      <c r="X1113" s="622"/>
      <c r="Y1113" s="458"/>
      <c r="Z1113" s="458"/>
      <c r="AA1113" s="458"/>
    </row>
    <row r="1114" spans="7:27" ht="14.25">
      <c r="G1114" s="388"/>
      <c r="H1114" s="389"/>
      <c r="I1114" s="388"/>
      <c r="J1114" s="391"/>
      <c r="K1114" s="392"/>
      <c r="L1114" s="392"/>
      <c r="M1114" s="392"/>
      <c r="N1114" s="388"/>
      <c r="O1114" s="388"/>
      <c r="P1114" s="392"/>
      <c r="Q1114" s="394"/>
      <c r="R1114" s="392"/>
      <c r="S1114" s="395"/>
      <c r="T1114" s="396"/>
      <c r="U1114" s="396"/>
      <c r="V1114" s="396"/>
      <c r="W1114" s="396"/>
      <c r="X1114" s="397"/>
      <c r="Y1114" s="339"/>
      <c r="Z1114" s="339"/>
      <c r="AA1114" s="339"/>
    </row>
    <row r="1115" spans="7:27" ht="14.25">
      <c r="G1115" s="387"/>
      <c r="H1115" s="549"/>
      <c r="I1115" s="387"/>
      <c r="J1115" s="550"/>
      <c r="K1115" s="551"/>
      <c r="L1115" s="551"/>
      <c r="M1115" s="551"/>
      <c r="N1115" s="387"/>
      <c r="O1115" s="387"/>
      <c r="P1115" s="551"/>
      <c r="Q1115" s="394"/>
      <c r="R1115" s="551"/>
      <c r="S1115" s="395"/>
      <c r="T1115" s="395"/>
      <c r="U1115" s="395"/>
      <c r="V1115" s="395"/>
      <c r="W1115" s="395"/>
      <c r="X1115" s="622"/>
      <c r="Y1115" s="458"/>
      <c r="Z1115" s="458"/>
      <c r="AA1115" s="458"/>
    </row>
    <row r="1116" spans="7:27" ht="14.25">
      <c r="G1116" s="388"/>
      <c r="H1116" s="389"/>
      <c r="I1116" s="388"/>
      <c r="J1116" s="391"/>
      <c r="K1116" s="392"/>
      <c r="L1116" s="392"/>
      <c r="M1116" s="392"/>
      <c r="N1116" s="388"/>
      <c r="O1116" s="388"/>
      <c r="P1116" s="392"/>
      <c r="Q1116" s="394"/>
      <c r="R1116" s="392"/>
      <c r="S1116" s="395"/>
      <c r="T1116" s="396"/>
      <c r="U1116" s="396"/>
      <c r="V1116" s="396"/>
      <c r="W1116" s="396"/>
      <c r="X1116" s="397"/>
      <c r="Y1116" s="339"/>
      <c r="Z1116" s="339"/>
      <c r="AA1116" s="339"/>
    </row>
    <row r="1117" spans="7:27" ht="14.25">
      <c r="G1117" s="387"/>
      <c r="H1117" s="549"/>
      <c r="I1117" s="387"/>
      <c r="J1117" s="550"/>
      <c r="K1117" s="551"/>
      <c r="L1117" s="551"/>
      <c r="M1117" s="551"/>
      <c r="N1117" s="387"/>
      <c r="O1117" s="387"/>
      <c r="P1117" s="551"/>
      <c r="Q1117" s="394"/>
      <c r="R1117" s="551"/>
      <c r="S1117" s="395"/>
      <c r="T1117" s="395"/>
      <c r="U1117" s="395"/>
      <c r="V1117" s="395"/>
      <c r="W1117" s="395"/>
      <c r="X1117" s="622"/>
      <c r="Y1117" s="458"/>
      <c r="Z1117" s="458"/>
      <c r="AA1117" s="458"/>
    </row>
    <row r="1118" spans="7:27" ht="14.25">
      <c r="G1118" s="388"/>
      <c r="H1118" s="389"/>
      <c r="I1118" s="388"/>
      <c r="J1118" s="391"/>
      <c r="K1118" s="392"/>
      <c r="L1118" s="392"/>
      <c r="M1118" s="392"/>
      <c r="N1118" s="388"/>
      <c r="O1118" s="388"/>
      <c r="P1118" s="392"/>
      <c r="Q1118" s="394"/>
      <c r="R1118" s="392"/>
      <c r="S1118" s="395"/>
      <c r="T1118" s="396"/>
      <c r="U1118" s="396"/>
      <c r="V1118" s="396"/>
      <c r="W1118" s="396"/>
      <c r="X1118" s="397"/>
      <c r="Y1118" s="339"/>
      <c r="Z1118" s="339"/>
      <c r="AA1118" s="339"/>
    </row>
    <row r="1119" spans="7:27" ht="14.25">
      <c r="G1119" s="387"/>
      <c r="H1119" s="549"/>
      <c r="I1119" s="387"/>
      <c r="J1119" s="550"/>
      <c r="K1119" s="551"/>
      <c r="L1119" s="551"/>
      <c r="M1119" s="551"/>
      <c r="N1119" s="387"/>
      <c r="O1119" s="387"/>
      <c r="P1119" s="551"/>
      <c r="Q1119" s="394"/>
      <c r="R1119" s="551"/>
      <c r="S1119" s="395"/>
      <c r="T1119" s="395"/>
      <c r="U1119" s="395"/>
      <c r="V1119" s="395"/>
      <c r="W1119" s="395"/>
      <c r="X1119" s="622"/>
      <c r="Y1119" s="458"/>
      <c r="Z1119" s="458"/>
      <c r="AA1119" s="458"/>
    </row>
    <row r="1120" spans="7:27" ht="14.25">
      <c r="G1120" s="388"/>
      <c r="H1120" s="389"/>
      <c r="I1120" s="388"/>
      <c r="J1120" s="391"/>
      <c r="K1120" s="392"/>
      <c r="L1120" s="392"/>
      <c r="M1120" s="392"/>
      <c r="N1120" s="388"/>
      <c r="O1120" s="388"/>
      <c r="P1120" s="392"/>
      <c r="Q1120" s="394"/>
      <c r="R1120" s="392"/>
      <c r="S1120" s="395"/>
      <c r="T1120" s="396"/>
      <c r="U1120" s="396"/>
      <c r="V1120" s="396"/>
      <c r="W1120" s="396"/>
      <c r="X1120" s="397"/>
      <c r="Y1120" s="339"/>
      <c r="Z1120" s="339"/>
      <c r="AA1120" s="339"/>
    </row>
    <row r="1121" spans="7:27" ht="14.25">
      <c r="G1121" s="387"/>
      <c r="H1121" s="549"/>
      <c r="I1121" s="387"/>
      <c r="J1121" s="550"/>
      <c r="K1121" s="551"/>
      <c r="L1121" s="551"/>
      <c r="M1121" s="551"/>
      <c r="N1121" s="387"/>
      <c r="O1121" s="387"/>
      <c r="P1121" s="551"/>
      <c r="Q1121" s="394"/>
      <c r="R1121" s="551"/>
      <c r="S1121" s="395"/>
      <c r="T1121" s="395"/>
      <c r="U1121" s="395"/>
      <c r="V1121" s="395"/>
      <c r="W1121" s="395"/>
      <c r="X1121" s="622"/>
      <c r="Y1121" s="458"/>
      <c r="Z1121" s="458"/>
      <c r="AA1121" s="458"/>
    </row>
    <row r="1122" spans="7:27" ht="14.25">
      <c r="G1122" s="388"/>
      <c r="H1122" s="389"/>
      <c r="I1122" s="388"/>
      <c r="J1122" s="391"/>
      <c r="K1122" s="392"/>
      <c r="L1122" s="392"/>
      <c r="M1122" s="392"/>
      <c r="N1122" s="388"/>
      <c r="O1122" s="388"/>
      <c r="P1122" s="392"/>
      <c r="Q1122" s="394"/>
      <c r="R1122" s="392"/>
      <c r="S1122" s="395"/>
      <c r="T1122" s="396"/>
      <c r="U1122" s="396"/>
      <c r="V1122" s="396"/>
      <c r="W1122" s="396"/>
      <c r="X1122" s="397"/>
      <c r="Y1122" s="339"/>
      <c r="Z1122" s="339"/>
      <c r="AA1122" s="339"/>
    </row>
    <row r="1123" spans="7:27" ht="14.25">
      <c r="G1123" s="387"/>
      <c r="H1123" s="549"/>
      <c r="I1123" s="387"/>
      <c r="J1123" s="550"/>
      <c r="K1123" s="551"/>
      <c r="L1123" s="551"/>
      <c r="M1123" s="551"/>
      <c r="N1123" s="387"/>
      <c r="O1123" s="387"/>
      <c r="P1123" s="551"/>
      <c r="Q1123" s="394"/>
      <c r="R1123" s="551"/>
      <c r="S1123" s="395"/>
      <c r="T1123" s="395"/>
      <c r="U1123" s="395"/>
      <c r="V1123" s="395"/>
      <c r="W1123" s="395"/>
      <c r="X1123" s="622"/>
      <c r="Y1123" s="458"/>
      <c r="Z1123" s="458"/>
      <c r="AA1123" s="458"/>
    </row>
    <row r="1124" spans="7:27" ht="14.25">
      <c r="G1124" s="388"/>
      <c r="H1124" s="389"/>
      <c r="I1124" s="388"/>
      <c r="J1124" s="391"/>
      <c r="K1124" s="392"/>
      <c r="L1124" s="392"/>
      <c r="M1124" s="392"/>
      <c r="N1124" s="388"/>
      <c r="O1124" s="388"/>
      <c r="P1124" s="392"/>
      <c r="Q1124" s="394"/>
      <c r="R1124" s="392"/>
      <c r="S1124" s="395"/>
      <c r="T1124" s="396"/>
      <c r="U1124" s="396"/>
      <c r="V1124" s="396"/>
      <c r="W1124" s="396"/>
      <c r="X1124" s="397"/>
      <c r="Y1124" s="339"/>
      <c r="Z1124" s="339"/>
      <c r="AA1124" s="339"/>
    </row>
    <row r="1125" spans="7:27" ht="14.25">
      <c r="G1125" s="387"/>
      <c r="H1125" s="549"/>
      <c r="I1125" s="387"/>
      <c r="J1125" s="550"/>
      <c r="K1125" s="551"/>
      <c r="L1125" s="551"/>
      <c r="M1125" s="551"/>
      <c r="N1125" s="387"/>
      <c r="O1125" s="387"/>
      <c r="P1125" s="551"/>
      <c r="Q1125" s="394"/>
      <c r="R1125" s="551"/>
      <c r="S1125" s="395"/>
      <c r="T1125" s="395"/>
      <c r="U1125" s="395"/>
      <c r="V1125" s="395"/>
      <c r="W1125" s="395"/>
      <c r="X1125" s="622"/>
      <c r="Y1125" s="458"/>
      <c r="Z1125" s="458"/>
      <c r="AA1125" s="458"/>
    </row>
    <row r="1126" spans="7:27" ht="14.25">
      <c r="G1126" s="388"/>
      <c r="H1126" s="389"/>
      <c r="I1126" s="388"/>
      <c r="J1126" s="391"/>
      <c r="K1126" s="392"/>
      <c r="L1126" s="392"/>
      <c r="M1126" s="392"/>
      <c r="N1126" s="388"/>
      <c r="O1126" s="388"/>
      <c r="P1126" s="392"/>
      <c r="Q1126" s="394"/>
      <c r="R1126" s="392"/>
      <c r="S1126" s="395"/>
      <c r="T1126" s="396"/>
      <c r="U1126" s="396"/>
      <c r="V1126" s="396"/>
      <c r="W1126" s="396"/>
      <c r="X1126" s="397"/>
      <c r="Y1126" s="339"/>
      <c r="Z1126" s="339"/>
      <c r="AA1126" s="339"/>
    </row>
    <row r="1127" spans="7:27" ht="14.25">
      <c r="G1127" s="387"/>
      <c r="H1127" s="549"/>
      <c r="I1127" s="387"/>
      <c r="J1127" s="550"/>
      <c r="K1127" s="551"/>
      <c r="L1127" s="551"/>
      <c r="M1127" s="551"/>
      <c r="N1127" s="387"/>
      <c r="O1127" s="387"/>
      <c r="P1127" s="551"/>
      <c r="Q1127" s="394"/>
      <c r="R1127" s="551"/>
      <c r="S1127" s="395"/>
      <c r="T1127" s="395"/>
      <c r="U1127" s="395"/>
      <c r="V1127" s="395"/>
      <c r="W1127" s="395"/>
      <c r="X1127" s="622"/>
      <c r="Y1127" s="458"/>
      <c r="Z1127" s="458"/>
      <c r="AA1127" s="458"/>
    </row>
    <row r="1128" spans="7:27" ht="14.25">
      <c r="G1128" s="388"/>
      <c r="H1128" s="389"/>
      <c r="I1128" s="388"/>
      <c r="J1128" s="391"/>
      <c r="K1128" s="392"/>
      <c r="L1128" s="392"/>
      <c r="M1128" s="392"/>
      <c r="N1128" s="388"/>
      <c r="O1128" s="388"/>
      <c r="P1128" s="392"/>
      <c r="Q1128" s="394"/>
      <c r="R1128" s="392"/>
      <c r="S1128" s="395"/>
      <c r="T1128" s="396"/>
      <c r="U1128" s="396"/>
      <c r="V1128" s="396"/>
      <c r="W1128" s="396"/>
      <c r="X1128" s="397"/>
      <c r="Y1128" s="339"/>
      <c r="Z1128" s="339"/>
      <c r="AA1128" s="339"/>
    </row>
    <row r="1129" spans="7:27" ht="14.25">
      <c r="G1129" s="387"/>
      <c r="H1129" s="549"/>
      <c r="I1129" s="387"/>
      <c r="J1129" s="550"/>
      <c r="K1129" s="551"/>
      <c r="L1129" s="551"/>
      <c r="M1129" s="551"/>
      <c r="N1129" s="387"/>
      <c r="O1129" s="387"/>
      <c r="P1129" s="551"/>
      <c r="Q1129" s="394"/>
      <c r="R1129" s="551"/>
      <c r="S1129" s="395"/>
      <c r="T1129" s="395"/>
      <c r="U1129" s="395"/>
      <c r="V1129" s="395"/>
      <c r="W1129" s="395"/>
      <c r="X1129" s="622"/>
      <c r="Y1129" s="458"/>
      <c r="Z1129" s="458"/>
      <c r="AA1129" s="458"/>
    </row>
    <row r="1130" spans="7:27" ht="14.25">
      <c r="G1130" s="388"/>
      <c r="H1130" s="389"/>
      <c r="I1130" s="388"/>
      <c r="J1130" s="391"/>
      <c r="K1130" s="392"/>
      <c r="L1130" s="392"/>
      <c r="M1130" s="392"/>
      <c r="N1130" s="388"/>
      <c r="O1130" s="388"/>
      <c r="P1130" s="392"/>
      <c r="Q1130" s="394"/>
      <c r="R1130" s="392"/>
      <c r="S1130" s="395"/>
      <c r="T1130" s="396"/>
      <c r="U1130" s="396"/>
      <c r="V1130" s="396"/>
      <c r="W1130" s="396"/>
      <c r="X1130" s="397"/>
      <c r="Y1130" s="339"/>
      <c r="Z1130" s="339"/>
      <c r="AA1130" s="339"/>
    </row>
    <row r="1131" spans="7:27" ht="14.25">
      <c r="G1131" s="387"/>
      <c r="H1131" s="549"/>
      <c r="I1131" s="387"/>
      <c r="J1131" s="550"/>
      <c r="K1131" s="551"/>
      <c r="L1131" s="551"/>
      <c r="M1131" s="551"/>
      <c r="N1131" s="387"/>
      <c r="O1131" s="387"/>
      <c r="P1131" s="551"/>
      <c r="Q1131" s="394"/>
      <c r="R1131" s="551"/>
      <c r="S1131" s="395"/>
      <c r="T1131" s="395"/>
      <c r="U1131" s="395"/>
      <c r="V1131" s="395"/>
      <c r="W1131" s="395"/>
      <c r="X1131" s="622"/>
      <c r="Y1131" s="458"/>
      <c r="Z1131" s="458"/>
      <c r="AA1131" s="458"/>
    </row>
    <row r="1132" spans="7:27" ht="14.25">
      <c r="G1132" s="388"/>
      <c r="H1132" s="389"/>
      <c r="I1132" s="388"/>
      <c r="J1132" s="391"/>
      <c r="K1132" s="392"/>
      <c r="L1132" s="392"/>
      <c r="M1132" s="392"/>
      <c r="N1132" s="388"/>
      <c r="O1132" s="388"/>
      <c r="P1132" s="392"/>
      <c r="Q1132" s="394"/>
      <c r="R1132" s="392"/>
      <c r="S1132" s="395"/>
      <c r="T1132" s="396"/>
      <c r="U1132" s="396"/>
      <c r="V1132" s="396"/>
      <c r="W1132" s="396"/>
      <c r="X1132" s="397"/>
      <c r="Y1132" s="339"/>
      <c r="Z1132" s="339"/>
      <c r="AA1132" s="339"/>
    </row>
    <row r="1133" spans="7:27" ht="14.25">
      <c r="G1133" s="387"/>
      <c r="H1133" s="549"/>
      <c r="I1133" s="387"/>
      <c r="J1133" s="550"/>
      <c r="K1133" s="551"/>
      <c r="L1133" s="551"/>
      <c r="M1133" s="551"/>
      <c r="N1133" s="387"/>
      <c r="O1133" s="387"/>
      <c r="P1133" s="551"/>
      <c r="Q1133" s="394"/>
      <c r="R1133" s="551"/>
      <c r="S1133" s="395"/>
      <c r="T1133" s="395"/>
      <c r="U1133" s="395"/>
      <c r="V1133" s="395"/>
      <c r="W1133" s="395"/>
      <c r="X1133" s="622"/>
      <c r="Y1133" s="458"/>
      <c r="Z1133" s="458"/>
      <c r="AA1133" s="458"/>
    </row>
    <row r="1134" spans="7:27" ht="14.25">
      <c r="G1134" s="388"/>
      <c r="H1134" s="389"/>
      <c r="I1134" s="388"/>
      <c r="J1134" s="391"/>
      <c r="K1134" s="392"/>
      <c r="L1134" s="392"/>
      <c r="M1134" s="392"/>
      <c r="N1134" s="388"/>
      <c r="O1134" s="388"/>
      <c r="P1134" s="392"/>
      <c r="Q1134" s="394"/>
      <c r="R1134" s="392"/>
      <c r="S1134" s="395"/>
      <c r="T1134" s="396"/>
      <c r="U1134" s="396"/>
      <c r="V1134" s="396"/>
      <c r="W1134" s="396"/>
      <c r="X1134" s="397"/>
      <c r="Y1134" s="339"/>
      <c r="Z1134" s="339"/>
      <c r="AA1134" s="339"/>
    </row>
    <row r="1135" spans="7:27" ht="14.25">
      <c r="G1135" s="387"/>
      <c r="H1135" s="549"/>
      <c r="I1135" s="387"/>
      <c r="J1135" s="550"/>
      <c r="K1135" s="551"/>
      <c r="L1135" s="551"/>
      <c r="M1135" s="551"/>
      <c r="N1135" s="387"/>
      <c r="O1135" s="387"/>
      <c r="P1135" s="551"/>
      <c r="Q1135" s="394"/>
      <c r="R1135" s="551"/>
      <c r="S1135" s="395"/>
      <c r="T1135" s="395"/>
      <c r="U1135" s="395"/>
      <c r="V1135" s="395"/>
      <c r="W1135" s="395"/>
      <c r="X1135" s="622"/>
      <c r="Y1135" s="458"/>
      <c r="Z1135" s="458"/>
      <c r="AA1135" s="458"/>
    </row>
    <row r="1136" spans="7:27" ht="14.25">
      <c r="G1136" s="388"/>
      <c r="H1136" s="389"/>
      <c r="I1136" s="388"/>
      <c r="J1136" s="391"/>
      <c r="K1136" s="392"/>
      <c r="L1136" s="392"/>
      <c r="M1136" s="392"/>
      <c r="N1136" s="388"/>
      <c r="O1136" s="388"/>
      <c r="P1136" s="392"/>
      <c r="Q1136" s="394"/>
      <c r="R1136" s="392"/>
      <c r="S1136" s="395"/>
      <c r="T1136" s="396"/>
      <c r="U1136" s="396"/>
      <c r="V1136" s="396"/>
      <c r="W1136" s="396"/>
      <c r="X1136" s="397"/>
      <c r="Y1136" s="339"/>
      <c r="Z1136" s="339"/>
      <c r="AA1136" s="339"/>
    </row>
    <row r="1137" spans="7:27" ht="14.25">
      <c r="G1137" s="387"/>
      <c r="H1137" s="549"/>
      <c r="I1137" s="387"/>
      <c r="J1137" s="550"/>
      <c r="K1137" s="551"/>
      <c r="L1137" s="551"/>
      <c r="M1137" s="551"/>
      <c r="N1137" s="387"/>
      <c r="O1137" s="387"/>
      <c r="P1137" s="551"/>
      <c r="Q1137" s="394"/>
      <c r="R1137" s="551"/>
      <c r="S1137" s="395"/>
      <c r="T1137" s="395"/>
      <c r="U1137" s="395"/>
      <c r="V1137" s="395"/>
      <c r="W1137" s="395"/>
      <c r="X1137" s="622"/>
      <c r="Y1137" s="458"/>
      <c r="Z1137" s="458"/>
      <c r="AA1137" s="458"/>
    </row>
    <row r="1138" spans="7:27" ht="14.25">
      <c r="G1138" s="388"/>
      <c r="H1138" s="389"/>
      <c r="I1138" s="388"/>
      <c r="J1138" s="391"/>
      <c r="K1138" s="392"/>
      <c r="L1138" s="392"/>
      <c r="M1138" s="392"/>
      <c r="N1138" s="388"/>
      <c r="O1138" s="388"/>
      <c r="P1138" s="392"/>
      <c r="Q1138" s="394"/>
      <c r="R1138" s="392"/>
      <c r="S1138" s="395"/>
      <c r="T1138" s="396"/>
      <c r="U1138" s="396"/>
      <c r="V1138" s="396"/>
      <c r="W1138" s="396"/>
      <c r="X1138" s="397"/>
      <c r="Y1138" s="339"/>
      <c r="Z1138" s="339"/>
      <c r="AA1138" s="339"/>
    </row>
    <row r="1139" spans="7:27" ht="14.25">
      <c r="G1139" s="387"/>
      <c r="H1139" s="549"/>
      <c r="I1139" s="387"/>
      <c r="J1139" s="550"/>
      <c r="K1139" s="551"/>
      <c r="L1139" s="551"/>
      <c r="M1139" s="551"/>
      <c r="N1139" s="387"/>
      <c r="O1139" s="387"/>
      <c r="P1139" s="551"/>
      <c r="Q1139" s="394"/>
      <c r="R1139" s="551"/>
      <c r="S1139" s="395"/>
      <c r="T1139" s="395"/>
      <c r="U1139" s="395"/>
      <c r="V1139" s="395"/>
      <c r="W1139" s="395"/>
      <c r="X1139" s="622"/>
      <c r="Y1139" s="458"/>
      <c r="Z1139" s="458"/>
      <c r="AA1139" s="458"/>
    </row>
    <row r="1140" spans="7:27" ht="14.25">
      <c r="G1140" s="388"/>
      <c r="H1140" s="389"/>
      <c r="I1140" s="388"/>
      <c r="J1140" s="391"/>
      <c r="K1140" s="392"/>
      <c r="L1140" s="392"/>
      <c r="M1140" s="392"/>
      <c r="N1140" s="388"/>
      <c r="O1140" s="388"/>
      <c r="P1140" s="392"/>
      <c r="Q1140" s="394"/>
      <c r="R1140" s="392"/>
      <c r="S1140" s="395"/>
      <c r="T1140" s="396"/>
      <c r="U1140" s="396"/>
      <c r="V1140" s="396"/>
      <c r="W1140" s="396"/>
      <c r="X1140" s="397"/>
      <c r="Y1140" s="339"/>
      <c r="Z1140" s="339"/>
      <c r="AA1140" s="339"/>
    </row>
    <row r="1141" spans="7:27" ht="14.25">
      <c r="G1141" s="387"/>
      <c r="H1141" s="549"/>
      <c r="I1141" s="387"/>
      <c r="J1141" s="550"/>
      <c r="K1141" s="551"/>
      <c r="L1141" s="551"/>
      <c r="M1141" s="551"/>
      <c r="N1141" s="387"/>
      <c r="O1141" s="387"/>
      <c r="P1141" s="551"/>
      <c r="Q1141" s="394"/>
      <c r="R1141" s="551"/>
      <c r="S1141" s="395"/>
      <c r="T1141" s="395"/>
      <c r="U1141" s="395"/>
      <c r="V1141" s="395"/>
      <c r="W1141" s="395"/>
      <c r="X1141" s="622"/>
      <c r="Y1141" s="458"/>
      <c r="Z1141" s="458"/>
      <c r="AA1141" s="458"/>
    </row>
    <row r="1142" spans="7:27" ht="14.25">
      <c r="G1142" s="388"/>
      <c r="H1142" s="389"/>
      <c r="I1142" s="388"/>
      <c r="J1142" s="391"/>
      <c r="K1142" s="392"/>
      <c r="L1142" s="392"/>
      <c r="M1142" s="392"/>
      <c r="N1142" s="388"/>
      <c r="O1142" s="388"/>
      <c r="P1142" s="392"/>
      <c r="Q1142" s="394"/>
      <c r="R1142" s="392"/>
      <c r="S1142" s="395"/>
      <c r="T1142" s="396"/>
      <c r="U1142" s="396"/>
      <c r="V1142" s="396"/>
      <c r="W1142" s="396"/>
      <c r="X1142" s="397"/>
      <c r="Y1142" s="339"/>
      <c r="Z1142" s="339"/>
      <c r="AA1142" s="339"/>
    </row>
    <row r="1143" spans="7:27" ht="14.25">
      <c r="G1143" s="387"/>
      <c r="H1143" s="549"/>
      <c r="I1143" s="387"/>
      <c r="J1143" s="550"/>
      <c r="K1143" s="551"/>
      <c r="L1143" s="551"/>
      <c r="M1143" s="551"/>
      <c r="N1143" s="387"/>
      <c r="O1143" s="387"/>
      <c r="P1143" s="551"/>
      <c r="Q1143" s="394"/>
      <c r="R1143" s="551"/>
      <c r="S1143" s="395"/>
      <c r="T1143" s="395"/>
      <c r="U1143" s="395"/>
      <c r="V1143" s="395"/>
      <c r="W1143" s="395"/>
      <c r="X1143" s="622"/>
      <c r="Y1143" s="458"/>
      <c r="Z1143" s="458"/>
      <c r="AA1143" s="458"/>
    </row>
    <row r="1144" spans="7:27" ht="14.25">
      <c r="G1144" s="388"/>
      <c r="H1144" s="389"/>
      <c r="I1144" s="388"/>
      <c r="J1144" s="391"/>
      <c r="K1144" s="392"/>
      <c r="L1144" s="392"/>
      <c r="M1144" s="392"/>
      <c r="N1144" s="388"/>
      <c r="O1144" s="388"/>
      <c r="P1144" s="392"/>
      <c r="Q1144" s="394"/>
      <c r="R1144" s="392"/>
      <c r="S1144" s="395"/>
      <c r="T1144" s="396"/>
      <c r="U1144" s="396"/>
      <c r="V1144" s="396"/>
      <c r="W1144" s="396"/>
      <c r="X1144" s="397"/>
      <c r="Y1144" s="339"/>
      <c r="Z1144" s="339"/>
      <c r="AA1144" s="339"/>
    </row>
    <row r="1145" spans="7:27" ht="14.25">
      <c r="G1145" s="387"/>
      <c r="H1145" s="549"/>
      <c r="I1145" s="387"/>
      <c r="J1145" s="550"/>
      <c r="K1145" s="551"/>
      <c r="L1145" s="551"/>
      <c r="M1145" s="551"/>
      <c r="N1145" s="387"/>
      <c r="O1145" s="387"/>
      <c r="P1145" s="551"/>
      <c r="Q1145" s="394"/>
      <c r="R1145" s="551"/>
      <c r="S1145" s="395"/>
      <c r="T1145" s="395"/>
      <c r="U1145" s="395"/>
      <c r="V1145" s="395"/>
      <c r="W1145" s="395"/>
      <c r="X1145" s="622"/>
      <c r="Y1145" s="458"/>
      <c r="Z1145" s="458"/>
      <c r="AA1145" s="458"/>
    </row>
    <row r="1146" spans="7:27" ht="14.25">
      <c r="G1146" s="388"/>
      <c r="H1146" s="389"/>
      <c r="I1146" s="388"/>
      <c r="J1146" s="391"/>
      <c r="K1146" s="392"/>
      <c r="L1146" s="392"/>
      <c r="M1146" s="392"/>
      <c r="N1146" s="388"/>
      <c r="O1146" s="388"/>
      <c r="P1146" s="392"/>
      <c r="Q1146" s="394"/>
      <c r="R1146" s="392"/>
      <c r="S1146" s="395"/>
      <c r="T1146" s="396"/>
      <c r="U1146" s="396"/>
      <c r="V1146" s="396"/>
      <c r="W1146" s="396"/>
      <c r="X1146" s="397"/>
      <c r="Y1146" s="339"/>
      <c r="Z1146" s="339"/>
      <c r="AA1146" s="339"/>
    </row>
    <row r="1147" spans="7:27" ht="14.25">
      <c r="G1147" s="387"/>
      <c r="H1147" s="549"/>
      <c r="I1147" s="387"/>
      <c r="J1147" s="550"/>
      <c r="K1147" s="551"/>
      <c r="L1147" s="551"/>
      <c r="M1147" s="551"/>
      <c r="N1147" s="387"/>
      <c r="O1147" s="387"/>
      <c r="P1147" s="551"/>
      <c r="Q1147" s="394"/>
      <c r="R1147" s="551"/>
      <c r="S1147" s="395"/>
      <c r="T1147" s="395"/>
      <c r="U1147" s="395"/>
      <c r="V1147" s="395"/>
      <c r="W1147" s="395"/>
      <c r="X1147" s="622"/>
      <c r="Y1147" s="458"/>
      <c r="Z1147" s="458"/>
      <c r="AA1147" s="458"/>
    </row>
    <row r="1148" spans="7:27" ht="14.25">
      <c r="G1148" s="388"/>
      <c r="H1148" s="389"/>
      <c r="I1148" s="388"/>
      <c r="J1148" s="391"/>
      <c r="K1148" s="392"/>
      <c r="L1148" s="392"/>
      <c r="M1148" s="392"/>
      <c r="N1148" s="388"/>
      <c r="O1148" s="388"/>
      <c r="P1148" s="392"/>
      <c r="Q1148" s="394"/>
      <c r="R1148" s="392"/>
      <c r="S1148" s="395"/>
      <c r="T1148" s="396"/>
      <c r="U1148" s="396"/>
      <c r="V1148" s="396"/>
      <c r="W1148" s="396"/>
      <c r="X1148" s="397"/>
      <c r="Y1148" s="339"/>
      <c r="Z1148" s="339"/>
      <c r="AA1148" s="339"/>
    </row>
    <row r="1149" spans="7:27" ht="14.25">
      <c r="G1149" s="387"/>
      <c r="H1149" s="549"/>
      <c r="I1149" s="387"/>
      <c r="J1149" s="550"/>
      <c r="K1149" s="551"/>
      <c r="L1149" s="551"/>
      <c r="M1149" s="551"/>
      <c r="N1149" s="387"/>
      <c r="O1149" s="387"/>
      <c r="P1149" s="551"/>
      <c r="Q1149" s="394"/>
      <c r="R1149" s="551"/>
      <c r="S1149" s="395"/>
      <c r="T1149" s="395"/>
      <c r="U1149" s="395"/>
      <c r="V1149" s="395"/>
      <c r="W1149" s="395"/>
      <c r="X1149" s="622"/>
      <c r="Y1149" s="458"/>
      <c r="Z1149" s="458"/>
      <c r="AA1149" s="458"/>
    </row>
    <row r="1150" spans="7:27" ht="14.25">
      <c r="G1150" s="388"/>
      <c r="H1150" s="389"/>
      <c r="I1150" s="388"/>
      <c r="J1150" s="391"/>
      <c r="K1150" s="392"/>
      <c r="L1150" s="392"/>
      <c r="M1150" s="392"/>
      <c r="N1150" s="388"/>
      <c r="O1150" s="388"/>
      <c r="P1150" s="392"/>
      <c r="Q1150" s="394"/>
      <c r="R1150" s="392"/>
      <c r="S1150" s="395"/>
      <c r="T1150" s="396"/>
      <c r="U1150" s="396"/>
      <c r="V1150" s="396"/>
      <c r="W1150" s="396"/>
      <c r="X1150" s="397"/>
      <c r="Y1150" s="339"/>
      <c r="Z1150" s="339"/>
      <c r="AA1150" s="339"/>
    </row>
    <row r="1151" spans="7:27" ht="14.25">
      <c r="G1151" s="387"/>
      <c r="H1151" s="549"/>
      <c r="I1151" s="387"/>
      <c r="J1151" s="550"/>
      <c r="K1151" s="551"/>
      <c r="L1151" s="551"/>
      <c r="M1151" s="551"/>
      <c r="N1151" s="387"/>
      <c r="O1151" s="387"/>
      <c r="P1151" s="551"/>
      <c r="Q1151" s="394"/>
      <c r="R1151" s="551"/>
      <c r="S1151" s="395"/>
      <c r="T1151" s="395"/>
      <c r="U1151" s="395"/>
      <c r="V1151" s="395"/>
      <c r="W1151" s="395"/>
      <c r="X1151" s="622"/>
      <c r="Y1151" s="458"/>
      <c r="Z1151" s="458"/>
      <c r="AA1151" s="458"/>
    </row>
    <row r="1152" spans="7:27" ht="14.25">
      <c r="G1152" s="388"/>
      <c r="H1152" s="389"/>
      <c r="I1152" s="388"/>
      <c r="J1152" s="391"/>
      <c r="K1152" s="392"/>
      <c r="L1152" s="392"/>
      <c r="M1152" s="392"/>
      <c r="N1152" s="388"/>
      <c r="O1152" s="388"/>
      <c r="P1152" s="392"/>
      <c r="Q1152" s="394"/>
      <c r="R1152" s="392"/>
      <c r="S1152" s="395"/>
      <c r="T1152" s="396"/>
      <c r="U1152" s="396"/>
      <c r="V1152" s="396"/>
      <c r="W1152" s="396"/>
      <c r="X1152" s="397"/>
      <c r="Y1152" s="339"/>
      <c r="Z1152" s="339"/>
      <c r="AA1152" s="339"/>
    </row>
    <row r="1153" spans="7:27" ht="14.25">
      <c r="G1153" s="387"/>
      <c r="H1153" s="549"/>
      <c r="I1153" s="387"/>
      <c r="J1153" s="550"/>
      <c r="K1153" s="551"/>
      <c r="L1153" s="551"/>
      <c r="M1153" s="551"/>
      <c r="N1153" s="387"/>
      <c r="O1153" s="387"/>
      <c r="P1153" s="551"/>
      <c r="Q1153" s="394"/>
      <c r="R1153" s="551"/>
      <c r="S1153" s="395"/>
      <c r="T1153" s="395"/>
      <c r="U1153" s="395"/>
      <c r="V1153" s="395"/>
      <c r="W1153" s="395"/>
      <c r="X1153" s="622"/>
      <c r="Y1153" s="458"/>
      <c r="Z1153" s="458"/>
      <c r="AA1153" s="458"/>
    </row>
    <row r="1154" spans="7:27" ht="14.25">
      <c r="G1154" s="388"/>
      <c r="H1154" s="389"/>
      <c r="I1154" s="388"/>
      <c r="J1154" s="391"/>
      <c r="K1154" s="392"/>
      <c r="L1154" s="392"/>
      <c r="M1154" s="392"/>
      <c r="N1154" s="388"/>
      <c r="O1154" s="388"/>
      <c r="P1154" s="392"/>
      <c r="Q1154" s="394"/>
      <c r="R1154" s="392"/>
      <c r="S1154" s="395"/>
      <c r="T1154" s="396"/>
      <c r="U1154" s="396"/>
      <c r="V1154" s="396"/>
      <c r="W1154" s="396"/>
      <c r="X1154" s="397"/>
      <c r="Y1154" s="339"/>
      <c r="Z1154" s="339"/>
      <c r="AA1154" s="339"/>
    </row>
    <row r="1155" spans="7:27" ht="14.25">
      <c r="G1155" s="387"/>
      <c r="H1155" s="549"/>
      <c r="I1155" s="387"/>
      <c r="J1155" s="550"/>
      <c r="K1155" s="551"/>
      <c r="L1155" s="551"/>
      <c r="M1155" s="551"/>
      <c r="N1155" s="387"/>
      <c r="O1155" s="387"/>
      <c r="P1155" s="551"/>
      <c r="Q1155" s="394"/>
      <c r="R1155" s="551"/>
      <c r="S1155" s="395"/>
      <c r="T1155" s="395"/>
      <c r="U1155" s="395"/>
      <c r="V1155" s="395"/>
      <c r="W1155" s="395"/>
      <c r="X1155" s="622"/>
      <c r="Y1155" s="458"/>
      <c r="Z1155" s="458"/>
      <c r="AA1155" s="458"/>
    </row>
    <row r="1156" spans="7:27" ht="14.25">
      <c r="G1156" s="388"/>
      <c r="H1156" s="389"/>
      <c r="I1156" s="388"/>
      <c r="J1156" s="391"/>
      <c r="K1156" s="392"/>
      <c r="L1156" s="392"/>
      <c r="M1156" s="392"/>
      <c r="N1156" s="388"/>
      <c r="O1156" s="388"/>
      <c r="P1156" s="392"/>
      <c r="Q1156" s="394"/>
      <c r="R1156" s="392"/>
      <c r="S1156" s="395"/>
      <c r="T1156" s="396"/>
      <c r="U1156" s="396"/>
      <c r="V1156" s="396"/>
      <c r="W1156" s="396"/>
      <c r="X1156" s="397"/>
      <c r="Y1156" s="339"/>
      <c r="Z1156" s="339"/>
      <c r="AA1156" s="339"/>
    </row>
    <row r="1157" spans="7:27" ht="14.25">
      <c r="G1157" s="387"/>
      <c r="H1157" s="549"/>
      <c r="I1157" s="387"/>
      <c r="J1157" s="550"/>
      <c r="K1157" s="551"/>
      <c r="L1157" s="551"/>
      <c r="M1157" s="551"/>
      <c r="N1157" s="387"/>
      <c r="O1157" s="387"/>
      <c r="P1157" s="551"/>
      <c r="Q1157" s="394"/>
      <c r="R1157" s="551"/>
      <c r="S1157" s="395"/>
      <c r="T1157" s="395"/>
      <c r="U1157" s="395"/>
      <c r="V1157" s="395"/>
      <c r="W1157" s="395"/>
      <c r="X1157" s="622"/>
      <c r="Y1157" s="458"/>
      <c r="Z1157" s="458"/>
      <c r="AA1157" s="458"/>
    </row>
    <row r="1158" spans="7:27" ht="14.25">
      <c r="G1158" s="388"/>
      <c r="H1158" s="389"/>
      <c r="I1158" s="388"/>
      <c r="J1158" s="391"/>
      <c r="K1158" s="392"/>
      <c r="L1158" s="392"/>
      <c r="M1158" s="392"/>
      <c r="N1158" s="388"/>
      <c r="O1158" s="388"/>
      <c r="P1158" s="392"/>
      <c r="Q1158" s="394"/>
      <c r="R1158" s="392"/>
      <c r="S1158" s="395"/>
      <c r="T1158" s="396"/>
      <c r="U1158" s="396"/>
      <c r="V1158" s="396"/>
      <c r="W1158" s="396"/>
      <c r="X1158" s="397"/>
      <c r="Y1158" s="339"/>
      <c r="Z1158" s="339"/>
      <c r="AA1158" s="339"/>
    </row>
    <row r="1159" spans="7:27" ht="14.25">
      <c r="G1159" s="387"/>
      <c r="H1159" s="549"/>
      <c r="I1159" s="387"/>
      <c r="J1159" s="550"/>
      <c r="K1159" s="551"/>
      <c r="L1159" s="551"/>
      <c r="M1159" s="551"/>
      <c r="N1159" s="387"/>
      <c r="O1159" s="387"/>
      <c r="P1159" s="551"/>
      <c r="Q1159" s="394"/>
      <c r="R1159" s="551"/>
      <c r="S1159" s="395"/>
      <c r="T1159" s="395"/>
      <c r="U1159" s="395"/>
      <c r="V1159" s="395"/>
      <c r="W1159" s="395"/>
      <c r="X1159" s="622"/>
      <c r="Y1159" s="458"/>
      <c r="Z1159" s="458"/>
      <c r="AA1159" s="458"/>
    </row>
    <row r="1160" spans="7:27" ht="14.25">
      <c r="G1160" s="388"/>
      <c r="H1160" s="389"/>
      <c r="I1160" s="388"/>
      <c r="J1160" s="391"/>
      <c r="K1160" s="392"/>
      <c r="L1160" s="392"/>
      <c r="M1160" s="392"/>
      <c r="N1160" s="388"/>
      <c r="O1160" s="388"/>
      <c r="P1160" s="392"/>
      <c r="Q1160" s="394"/>
      <c r="R1160" s="392"/>
      <c r="S1160" s="395"/>
      <c r="T1160" s="396"/>
      <c r="U1160" s="396"/>
      <c r="V1160" s="396"/>
      <c r="W1160" s="396"/>
      <c r="X1160" s="397"/>
      <c r="Y1160" s="339"/>
      <c r="Z1160" s="339"/>
      <c r="AA1160" s="339"/>
    </row>
    <row r="1161" spans="7:27" ht="14.25">
      <c r="G1161" s="387"/>
      <c r="H1161" s="549"/>
      <c r="I1161" s="387"/>
      <c r="J1161" s="550"/>
      <c r="K1161" s="551"/>
      <c r="L1161" s="551"/>
      <c r="M1161" s="551"/>
      <c r="N1161" s="387"/>
      <c r="O1161" s="387"/>
      <c r="P1161" s="551"/>
      <c r="Q1161" s="394"/>
      <c r="R1161" s="551"/>
      <c r="S1161" s="395"/>
      <c r="T1161" s="395"/>
      <c r="U1161" s="395"/>
      <c r="V1161" s="395"/>
      <c r="W1161" s="395"/>
      <c r="X1161" s="622"/>
      <c r="Y1161" s="458"/>
      <c r="Z1161" s="458"/>
      <c r="AA1161" s="458"/>
    </row>
    <row r="1162" spans="7:27" ht="14.25">
      <c r="G1162" s="388"/>
      <c r="H1162" s="389"/>
      <c r="I1162" s="388"/>
      <c r="J1162" s="391"/>
      <c r="K1162" s="392"/>
      <c r="L1162" s="392"/>
      <c r="M1162" s="392"/>
      <c r="N1162" s="388"/>
      <c r="O1162" s="388"/>
      <c r="P1162" s="392"/>
      <c r="Q1162" s="394"/>
      <c r="R1162" s="392"/>
      <c r="S1162" s="395"/>
      <c r="T1162" s="396"/>
      <c r="U1162" s="396"/>
      <c r="V1162" s="396"/>
      <c r="W1162" s="396"/>
      <c r="X1162" s="397"/>
      <c r="Y1162" s="339"/>
      <c r="Z1162" s="339"/>
      <c r="AA1162" s="339"/>
    </row>
    <row r="1163" spans="7:27" ht="14.25">
      <c r="G1163" s="387"/>
      <c r="H1163" s="549"/>
      <c r="I1163" s="387"/>
      <c r="J1163" s="550"/>
      <c r="K1163" s="551"/>
      <c r="L1163" s="551"/>
      <c r="M1163" s="551"/>
      <c r="N1163" s="387"/>
      <c r="O1163" s="387"/>
      <c r="P1163" s="551"/>
      <c r="Q1163" s="394"/>
      <c r="R1163" s="551"/>
      <c r="S1163" s="395"/>
      <c r="T1163" s="395"/>
      <c r="U1163" s="395"/>
      <c r="V1163" s="395"/>
      <c r="W1163" s="395"/>
      <c r="X1163" s="622"/>
      <c r="Y1163" s="458"/>
      <c r="Z1163" s="458"/>
      <c r="AA1163" s="458"/>
    </row>
    <row r="1164" spans="7:27" ht="14.25">
      <c r="G1164" s="388"/>
      <c r="H1164" s="389"/>
      <c r="I1164" s="388"/>
      <c r="J1164" s="391"/>
      <c r="K1164" s="392"/>
      <c r="L1164" s="392"/>
      <c r="M1164" s="392"/>
      <c r="N1164" s="388"/>
      <c r="O1164" s="388"/>
      <c r="P1164" s="392"/>
      <c r="Q1164" s="394"/>
      <c r="R1164" s="392"/>
      <c r="S1164" s="395"/>
      <c r="T1164" s="396"/>
      <c r="U1164" s="396"/>
      <c r="V1164" s="396"/>
      <c r="W1164" s="396"/>
      <c r="X1164" s="397"/>
      <c r="Y1164" s="339"/>
      <c r="Z1164" s="339"/>
      <c r="AA1164" s="339"/>
    </row>
    <row r="1165" spans="7:27" ht="14.25">
      <c r="G1165" s="387"/>
      <c r="H1165" s="549"/>
      <c r="I1165" s="387"/>
      <c r="J1165" s="550"/>
      <c r="K1165" s="551"/>
      <c r="L1165" s="551"/>
      <c r="M1165" s="551"/>
      <c r="N1165" s="387"/>
      <c r="O1165" s="387"/>
      <c r="P1165" s="551"/>
      <c r="Q1165" s="394"/>
      <c r="R1165" s="551"/>
      <c r="S1165" s="395"/>
      <c r="T1165" s="395"/>
      <c r="U1165" s="395"/>
      <c r="V1165" s="395"/>
      <c r="W1165" s="395"/>
      <c r="X1165" s="622"/>
      <c r="Y1165" s="458"/>
      <c r="Z1165" s="458"/>
      <c r="AA1165" s="458"/>
    </row>
    <row r="1166" spans="7:27" ht="14.25">
      <c r="G1166" s="388"/>
      <c r="H1166" s="389"/>
      <c r="I1166" s="388"/>
      <c r="J1166" s="391"/>
      <c r="K1166" s="392"/>
      <c r="L1166" s="392"/>
      <c r="M1166" s="392"/>
      <c r="N1166" s="388"/>
      <c r="O1166" s="388"/>
      <c r="P1166" s="392"/>
      <c r="Q1166" s="394"/>
      <c r="R1166" s="392"/>
      <c r="S1166" s="395"/>
      <c r="T1166" s="396"/>
      <c r="U1166" s="396"/>
      <c r="V1166" s="396"/>
      <c r="W1166" s="396"/>
      <c r="X1166" s="397"/>
      <c r="Y1166" s="339"/>
      <c r="Z1166" s="339"/>
      <c r="AA1166" s="339"/>
    </row>
    <row r="1167" spans="7:27" ht="14.25">
      <c r="G1167" s="387"/>
      <c r="H1167" s="549"/>
      <c r="I1167" s="387"/>
      <c r="J1167" s="550"/>
      <c r="K1167" s="551"/>
      <c r="L1167" s="551"/>
      <c r="M1167" s="551"/>
      <c r="N1167" s="387"/>
      <c r="O1167" s="387"/>
      <c r="P1167" s="551"/>
      <c r="Q1167" s="394"/>
      <c r="R1167" s="551"/>
      <c r="S1167" s="395"/>
      <c r="T1167" s="395"/>
      <c r="U1167" s="395"/>
      <c r="V1167" s="395"/>
      <c r="W1167" s="395"/>
      <c r="X1167" s="622"/>
      <c r="Y1167" s="458"/>
      <c r="Z1167" s="458"/>
      <c r="AA1167" s="458"/>
    </row>
    <row r="1168" spans="7:27" ht="14.25">
      <c r="G1168" s="388"/>
      <c r="H1168" s="389"/>
      <c r="I1168" s="388"/>
      <c r="J1168" s="391"/>
      <c r="K1168" s="392"/>
      <c r="L1168" s="392"/>
      <c r="M1168" s="392"/>
      <c r="N1168" s="388"/>
      <c r="O1168" s="388"/>
      <c r="P1168" s="392"/>
      <c r="Q1168" s="394"/>
      <c r="R1168" s="392"/>
      <c r="S1168" s="395"/>
      <c r="T1168" s="396"/>
      <c r="U1168" s="396"/>
      <c r="V1168" s="396"/>
      <c r="W1168" s="396"/>
      <c r="X1168" s="397"/>
      <c r="Y1168" s="339"/>
      <c r="Z1168" s="339"/>
      <c r="AA1168" s="339"/>
    </row>
    <row r="1169" spans="7:27" ht="14.25">
      <c r="G1169" s="387"/>
      <c r="H1169" s="549"/>
      <c r="I1169" s="387"/>
      <c r="J1169" s="550"/>
      <c r="K1169" s="551"/>
      <c r="L1169" s="551"/>
      <c r="M1169" s="551"/>
      <c r="N1169" s="387"/>
      <c r="O1169" s="387"/>
      <c r="P1169" s="551"/>
      <c r="Q1169" s="394"/>
      <c r="R1169" s="551"/>
      <c r="S1169" s="395"/>
      <c r="T1169" s="395"/>
      <c r="U1169" s="395"/>
      <c r="V1169" s="395"/>
      <c r="W1169" s="395"/>
      <c r="X1169" s="622"/>
      <c r="Y1169" s="458"/>
      <c r="Z1169" s="458"/>
      <c r="AA1169" s="458"/>
    </row>
    <row r="1170" spans="7:27" ht="14.25">
      <c r="G1170" s="388"/>
      <c r="H1170" s="389"/>
      <c r="I1170" s="388"/>
      <c r="J1170" s="391"/>
      <c r="K1170" s="392"/>
      <c r="L1170" s="392"/>
      <c r="M1170" s="392"/>
      <c r="N1170" s="388"/>
      <c r="O1170" s="388"/>
      <c r="P1170" s="392"/>
      <c r="Q1170" s="394"/>
      <c r="R1170" s="392"/>
      <c r="S1170" s="395"/>
      <c r="T1170" s="396"/>
      <c r="U1170" s="396"/>
      <c r="V1170" s="396"/>
      <c r="W1170" s="396"/>
      <c r="X1170" s="397"/>
      <c r="Y1170" s="339"/>
      <c r="Z1170" s="339"/>
      <c r="AA1170" s="339"/>
    </row>
    <row r="1171" spans="7:27" ht="14.25">
      <c r="G1171" s="387"/>
      <c r="H1171" s="549"/>
      <c r="I1171" s="387"/>
      <c r="J1171" s="550"/>
      <c r="K1171" s="551"/>
      <c r="L1171" s="551"/>
      <c r="M1171" s="551"/>
      <c r="N1171" s="387"/>
      <c r="O1171" s="387"/>
      <c r="P1171" s="551"/>
      <c r="Q1171" s="394"/>
      <c r="R1171" s="551"/>
      <c r="S1171" s="395"/>
      <c r="T1171" s="395"/>
      <c r="U1171" s="395"/>
      <c r="V1171" s="395"/>
      <c r="W1171" s="395"/>
      <c r="X1171" s="622"/>
      <c r="Y1171" s="458"/>
      <c r="Z1171" s="458"/>
      <c r="AA1171" s="458"/>
    </row>
    <row r="1172" spans="7:27" ht="14.25">
      <c r="G1172" s="388"/>
      <c r="H1172" s="389"/>
      <c r="I1172" s="388"/>
      <c r="J1172" s="391"/>
      <c r="K1172" s="392"/>
      <c r="L1172" s="392"/>
      <c r="M1172" s="392"/>
      <c r="N1172" s="388"/>
      <c r="O1172" s="388"/>
      <c r="P1172" s="392"/>
      <c r="Q1172" s="394"/>
      <c r="R1172" s="392"/>
      <c r="S1172" s="395"/>
      <c r="T1172" s="396"/>
      <c r="U1172" s="396"/>
      <c r="V1172" s="396"/>
      <c r="W1172" s="396"/>
      <c r="X1172" s="397"/>
      <c r="Y1172" s="339"/>
      <c r="Z1172" s="339"/>
      <c r="AA1172" s="339"/>
    </row>
    <row r="1173" spans="7:27" ht="14.25">
      <c r="G1173" s="387"/>
      <c r="H1173" s="549"/>
      <c r="I1173" s="387"/>
      <c r="J1173" s="550"/>
      <c r="K1173" s="551"/>
      <c r="L1173" s="551"/>
      <c r="M1173" s="551"/>
      <c r="N1173" s="387"/>
      <c r="O1173" s="387"/>
      <c r="P1173" s="551"/>
      <c r="Q1173" s="394"/>
      <c r="R1173" s="551"/>
      <c r="S1173" s="395"/>
      <c r="T1173" s="395"/>
      <c r="U1173" s="395"/>
      <c r="V1173" s="395"/>
      <c r="W1173" s="395"/>
      <c r="X1173" s="622"/>
      <c r="Y1173" s="458"/>
      <c r="Z1173" s="458"/>
      <c r="AA1173" s="458"/>
    </row>
    <row r="1174" spans="7:27" ht="14.25">
      <c r="G1174" s="388"/>
      <c r="H1174" s="389"/>
      <c r="I1174" s="388"/>
      <c r="J1174" s="391"/>
      <c r="K1174" s="392"/>
      <c r="L1174" s="392"/>
      <c r="M1174" s="392"/>
      <c r="N1174" s="388"/>
      <c r="O1174" s="388"/>
      <c r="P1174" s="392"/>
      <c r="Q1174" s="394"/>
      <c r="R1174" s="392"/>
      <c r="S1174" s="395"/>
      <c r="T1174" s="396"/>
      <c r="U1174" s="396"/>
      <c r="V1174" s="396"/>
      <c r="W1174" s="396"/>
      <c r="X1174" s="397"/>
      <c r="Y1174" s="339"/>
      <c r="Z1174" s="339"/>
      <c r="AA1174" s="339"/>
    </row>
    <row r="1175" spans="7:27" ht="14.25">
      <c r="G1175" s="387"/>
      <c r="H1175" s="549"/>
      <c r="I1175" s="387"/>
      <c r="J1175" s="550"/>
      <c r="K1175" s="551"/>
      <c r="L1175" s="551"/>
      <c r="M1175" s="551"/>
      <c r="N1175" s="387"/>
      <c r="O1175" s="387"/>
      <c r="P1175" s="551"/>
      <c r="Q1175" s="394"/>
      <c r="R1175" s="551"/>
      <c r="S1175" s="395"/>
      <c r="T1175" s="395"/>
      <c r="U1175" s="395"/>
      <c r="V1175" s="395"/>
      <c r="W1175" s="395"/>
      <c r="X1175" s="622"/>
      <c r="Y1175" s="458"/>
      <c r="Z1175" s="458"/>
      <c r="AA1175" s="458"/>
    </row>
    <row r="1176" spans="7:27" ht="14.25">
      <c r="G1176" s="388"/>
      <c r="H1176" s="389"/>
      <c r="I1176" s="388"/>
      <c r="J1176" s="391"/>
      <c r="K1176" s="392"/>
      <c r="L1176" s="392"/>
      <c r="M1176" s="392"/>
      <c r="N1176" s="388"/>
      <c r="O1176" s="388"/>
      <c r="P1176" s="392"/>
      <c r="Q1176" s="394"/>
      <c r="R1176" s="392"/>
      <c r="S1176" s="395"/>
      <c r="T1176" s="396"/>
      <c r="U1176" s="396"/>
      <c r="V1176" s="396"/>
      <c r="W1176" s="396"/>
      <c r="X1176" s="397"/>
      <c r="Y1176" s="339"/>
      <c r="Z1176" s="339"/>
      <c r="AA1176" s="339"/>
    </row>
    <row r="1177" spans="7:27" ht="14.25">
      <c r="G1177" s="387"/>
      <c r="H1177" s="549"/>
      <c r="I1177" s="387"/>
      <c r="J1177" s="550"/>
      <c r="K1177" s="551"/>
      <c r="L1177" s="551"/>
      <c r="M1177" s="551"/>
      <c r="N1177" s="387"/>
      <c r="O1177" s="387"/>
      <c r="P1177" s="551"/>
      <c r="Q1177" s="394"/>
      <c r="R1177" s="551"/>
      <c r="S1177" s="395"/>
      <c r="T1177" s="395"/>
      <c r="U1177" s="395"/>
      <c r="V1177" s="395"/>
      <c r="W1177" s="395"/>
      <c r="X1177" s="622"/>
      <c r="Y1177" s="458"/>
      <c r="Z1177" s="458"/>
      <c r="AA1177" s="458"/>
    </row>
    <row r="1178" spans="7:27" ht="14.25">
      <c r="G1178" s="388"/>
      <c r="H1178" s="389"/>
      <c r="I1178" s="388"/>
      <c r="J1178" s="391"/>
      <c r="K1178" s="392"/>
      <c r="L1178" s="392"/>
      <c r="M1178" s="392"/>
      <c r="N1178" s="388"/>
      <c r="O1178" s="388"/>
      <c r="P1178" s="392"/>
      <c r="Q1178" s="394"/>
      <c r="R1178" s="392"/>
      <c r="S1178" s="395"/>
      <c r="T1178" s="396"/>
      <c r="U1178" s="396"/>
      <c r="V1178" s="396"/>
      <c r="W1178" s="396"/>
      <c r="X1178" s="397"/>
      <c r="Y1178" s="339"/>
      <c r="Z1178" s="339"/>
      <c r="AA1178" s="339"/>
    </row>
    <row r="1179" spans="7:27" ht="14.25">
      <c r="G1179" s="387"/>
      <c r="H1179" s="549"/>
      <c r="I1179" s="387"/>
      <c r="J1179" s="550"/>
      <c r="K1179" s="551"/>
      <c r="L1179" s="551"/>
      <c r="M1179" s="551"/>
      <c r="N1179" s="387"/>
      <c r="O1179" s="387"/>
      <c r="P1179" s="551"/>
      <c r="Q1179" s="394"/>
      <c r="R1179" s="551"/>
      <c r="S1179" s="395"/>
      <c r="T1179" s="395"/>
      <c r="U1179" s="395"/>
      <c r="V1179" s="395"/>
      <c r="W1179" s="395"/>
      <c r="X1179" s="622"/>
      <c r="Y1179" s="458"/>
      <c r="Z1179" s="458"/>
      <c r="AA1179" s="458"/>
    </row>
    <row r="1180" spans="7:27" ht="14.25">
      <c r="G1180" s="388"/>
      <c r="H1180" s="389"/>
      <c r="I1180" s="388"/>
      <c r="J1180" s="391"/>
      <c r="K1180" s="392"/>
      <c r="L1180" s="392"/>
      <c r="M1180" s="392"/>
      <c r="N1180" s="388"/>
      <c r="O1180" s="388"/>
      <c r="P1180" s="392"/>
      <c r="Q1180" s="394"/>
      <c r="R1180" s="392"/>
      <c r="S1180" s="395"/>
      <c r="T1180" s="396"/>
      <c r="U1180" s="396"/>
      <c r="V1180" s="396"/>
      <c r="W1180" s="396"/>
      <c r="X1180" s="397"/>
      <c r="Y1180" s="339"/>
      <c r="Z1180" s="339"/>
      <c r="AA1180" s="339"/>
    </row>
    <row r="1181" spans="7:27" ht="14.25">
      <c r="G1181" s="387"/>
      <c r="H1181" s="549"/>
      <c r="I1181" s="387"/>
      <c r="J1181" s="550"/>
      <c r="K1181" s="551"/>
      <c r="L1181" s="551"/>
      <c r="M1181" s="551"/>
      <c r="N1181" s="387"/>
      <c r="O1181" s="387"/>
      <c r="P1181" s="551"/>
      <c r="Q1181" s="394"/>
      <c r="R1181" s="551"/>
      <c r="S1181" s="395"/>
      <c r="T1181" s="395"/>
      <c r="U1181" s="395"/>
      <c r="V1181" s="395"/>
      <c r="W1181" s="395"/>
      <c r="X1181" s="622"/>
      <c r="Y1181" s="458"/>
      <c r="Z1181" s="458"/>
      <c r="AA1181" s="458"/>
    </row>
    <row r="1182" spans="7:27" ht="14.25">
      <c r="G1182" s="388"/>
      <c r="H1182" s="389"/>
      <c r="I1182" s="388"/>
      <c r="J1182" s="391"/>
      <c r="K1182" s="392"/>
      <c r="L1182" s="392"/>
      <c r="M1182" s="392"/>
      <c r="N1182" s="388"/>
      <c r="O1182" s="388"/>
      <c r="P1182" s="392"/>
      <c r="Q1182" s="394"/>
      <c r="R1182" s="392"/>
      <c r="S1182" s="395"/>
      <c r="T1182" s="396"/>
      <c r="U1182" s="396"/>
      <c r="V1182" s="396"/>
      <c r="W1182" s="396"/>
      <c r="X1182" s="397"/>
      <c r="Y1182" s="339"/>
      <c r="Z1182" s="339"/>
      <c r="AA1182" s="339"/>
    </row>
    <row r="1183" spans="7:27" ht="14.25">
      <c r="G1183" s="387"/>
      <c r="H1183" s="549"/>
      <c r="I1183" s="387"/>
      <c r="J1183" s="550"/>
      <c r="K1183" s="551"/>
      <c r="L1183" s="551"/>
      <c r="M1183" s="551"/>
      <c r="N1183" s="387"/>
      <c r="O1183" s="387"/>
      <c r="P1183" s="551"/>
      <c r="Q1183" s="394"/>
      <c r="R1183" s="551"/>
      <c r="S1183" s="395"/>
      <c r="T1183" s="395"/>
      <c r="U1183" s="395"/>
      <c r="V1183" s="395"/>
      <c r="W1183" s="395"/>
      <c r="X1183" s="622"/>
      <c r="Y1183" s="458"/>
      <c r="Z1183" s="458"/>
      <c r="AA1183" s="458"/>
    </row>
    <row r="1184" spans="7:27" ht="14.25">
      <c r="G1184" s="388"/>
      <c r="H1184" s="389"/>
      <c r="I1184" s="388"/>
      <c r="J1184" s="391"/>
      <c r="K1184" s="392"/>
      <c r="L1184" s="392"/>
      <c r="M1184" s="392"/>
      <c r="N1184" s="388"/>
      <c r="O1184" s="388"/>
      <c r="P1184" s="392"/>
      <c r="Q1184" s="394"/>
      <c r="R1184" s="392"/>
      <c r="S1184" s="395"/>
      <c r="T1184" s="396"/>
      <c r="U1184" s="396"/>
      <c r="V1184" s="396"/>
      <c r="W1184" s="396"/>
      <c r="X1184" s="397"/>
      <c r="Y1184" s="339"/>
      <c r="Z1184" s="339"/>
      <c r="AA1184" s="339"/>
    </row>
    <row r="1185" spans="7:27" ht="14.25">
      <c r="G1185" s="387"/>
      <c r="H1185" s="549"/>
      <c r="I1185" s="387"/>
      <c r="J1185" s="550"/>
      <c r="K1185" s="551"/>
      <c r="L1185" s="551"/>
      <c r="M1185" s="551"/>
      <c r="N1185" s="387"/>
      <c r="O1185" s="387"/>
      <c r="P1185" s="551"/>
      <c r="Q1185" s="394"/>
      <c r="R1185" s="551"/>
      <c r="S1185" s="395"/>
      <c r="T1185" s="395"/>
      <c r="U1185" s="395"/>
      <c r="V1185" s="395"/>
      <c r="W1185" s="395"/>
      <c r="X1185" s="622"/>
      <c r="Y1185" s="458"/>
      <c r="Z1185" s="458"/>
      <c r="AA1185" s="458"/>
    </row>
    <row r="1186" spans="7:27" ht="14.25">
      <c r="G1186" s="388"/>
      <c r="H1186" s="389"/>
      <c r="I1186" s="388"/>
      <c r="J1186" s="391"/>
      <c r="K1186" s="392"/>
      <c r="L1186" s="392"/>
      <c r="M1186" s="392"/>
      <c r="N1186" s="388"/>
      <c r="O1186" s="388"/>
      <c r="P1186" s="392"/>
      <c r="Q1186" s="394"/>
      <c r="R1186" s="392"/>
      <c r="S1186" s="395"/>
      <c r="T1186" s="396"/>
      <c r="U1186" s="396"/>
      <c r="V1186" s="396"/>
      <c r="W1186" s="396"/>
      <c r="X1186" s="397"/>
      <c r="Y1186" s="339"/>
      <c r="Z1186" s="339"/>
      <c r="AA1186" s="339"/>
    </row>
    <row r="1187" spans="7:27" ht="14.25">
      <c r="G1187" s="387"/>
      <c r="H1187" s="549"/>
      <c r="I1187" s="387"/>
      <c r="J1187" s="550"/>
      <c r="K1187" s="551"/>
      <c r="L1187" s="551"/>
      <c r="M1187" s="551"/>
      <c r="N1187" s="387"/>
      <c r="O1187" s="387"/>
      <c r="P1187" s="551"/>
      <c r="Q1187" s="394"/>
      <c r="R1187" s="551"/>
      <c r="S1187" s="395"/>
      <c r="T1187" s="395"/>
      <c r="U1187" s="395"/>
      <c r="V1187" s="395"/>
      <c r="W1187" s="395"/>
      <c r="X1187" s="622"/>
      <c r="Y1187" s="458"/>
      <c r="Z1187" s="458"/>
      <c r="AA1187" s="458"/>
    </row>
    <row r="1188" spans="7:27" ht="14.25">
      <c r="G1188" s="388"/>
      <c r="H1188" s="389"/>
      <c r="I1188" s="388"/>
      <c r="J1188" s="391"/>
      <c r="K1188" s="392"/>
      <c r="L1188" s="392"/>
      <c r="M1188" s="392"/>
      <c r="N1188" s="388"/>
      <c r="O1188" s="388"/>
      <c r="P1188" s="392"/>
      <c r="Q1188" s="394"/>
      <c r="R1188" s="392"/>
      <c r="S1188" s="395"/>
      <c r="T1188" s="396"/>
      <c r="U1188" s="396"/>
      <c r="V1188" s="396"/>
      <c r="W1188" s="396"/>
      <c r="X1188" s="397"/>
      <c r="Y1188" s="339"/>
      <c r="Z1188" s="339"/>
      <c r="AA1188" s="339"/>
    </row>
    <row r="1189" spans="7:27" ht="14.25">
      <c r="G1189" s="387"/>
      <c r="H1189" s="549"/>
      <c r="I1189" s="387"/>
      <c r="J1189" s="550"/>
      <c r="K1189" s="551"/>
      <c r="L1189" s="551"/>
      <c r="M1189" s="551"/>
      <c r="N1189" s="387"/>
      <c r="O1189" s="387"/>
      <c r="P1189" s="551"/>
      <c r="Q1189" s="394"/>
      <c r="R1189" s="551"/>
      <c r="S1189" s="395"/>
      <c r="T1189" s="395"/>
      <c r="U1189" s="395"/>
      <c r="V1189" s="395"/>
      <c r="W1189" s="395"/>
      <c r="X1189" s="622"/>
      <c r="Y1189" s="458"/>
      <c r="Z1189" s="458"/>
      <c r="AA1189" s="458"/>
    </row>
    <row r="1190" spans="7:27" ht="14.25">
      <c r="G1190" s="388"/>
      <c r="H1190" s="389"/>
      <c r="I1190" s="388"/>
      <c r="J1190" s="391"/>
      <c r="K1190" s="392"/>
      <c r="L1190" s="392"/>
      <c r="M1190" s="392"/>
      <c r="N1190" s="388"/>
      <c r="O1190" s="388"/>
      <c r="P1190" s="392"/>
      <c r="Q1190" s="394"/>
      <c r="R1190" s="392"/>
      <c r="S1190" s="395"/>
      <c r="T1190" s="396"/>
      <c r="U1190" s="396"/>
      <c r="V1190" s="396"/>
      <c r="W1190" s="396"/>
      <c r="X1190" s="397"/>
      <c r="Y1190" s="339"/>
      <c r="Z1190" s="339"/>
      <c r="AA1190" s="339"/>
    </row>
    <row r="1191" spans="7:27" ht="14.25">
      <c r="G1191" s="387"/>
      <c r="H1191" s="549"/>
      <c r="I1191" s="387"/>
      <c r="J1191" s="550"/>
      <c r="K1191" s="551"/>
      <c r="L1191" s="551"/>
      <c r="M1191" s="551"/>
      <c r="N1191" s="387"/>
      <c r="O1191" s="387"/>
      <c r="P1191" s="551"/>
      <c r="Q1191" s="394"/>
      <c r="R1191" s="551"/>
      <c r="S1191" s="395"/>
      <c r="T1191" s="395"/>
      <c r="U1191" s="395"/>
      <c r="V1191" s="395"/>
      <c r="W1191" s="395"/>
      <c r="X1191" s="622"/>
      <c r="Y1191" s="458"/>
      <c r="Z1191" s="458"/>
      <c r="AA1191" s="458"/>
    </row>
    <row r="1192" spans="7:27" ht="14.25">
      <c r="G1192" s="388"/>
      <c r="H1192" s="389"/>
      <c r="I1192" s="388"/>
      <c r="J1192" s="391"/>
      <c r="K1192" s="392"/>
      <c r="L1192" s="392"/>
      <c r="M1192" s="392"/>
      <c r="N1192" s="388"/>
      <c r="O1192" s="388"/>
      <c r="P1192" s="392"/>
      <c r="Q1192" s="394"/>
      <c r="R1192" s="392"/>
      <c r="S1192" s="395"/>
      <c r="T1192" s="396"/>
      <c r="U1192" s="396"/>
      <c r="V1192" s="396"/>
      <c r="W1192" s="396"/>
      <c r="X1192" s="397"/>
      <c r="Y1192" s="339"/>
      <c r="Z1192" s="339"/>
      <c r="AA1192" s="339"/>
    </row>
    <row r="1193" spans="7:27" ht="14.25">
      <c r="G1193" s="387"/>
      <c r="H1193" s="549"/>
      <c r="I1193" s="387"/>
      <c r="J1193" s="550"/>
      <c r="K1193" s="551"/>
      <c r="L1193" s="551"/>
      <c r="M1193" s="551"/>
      <c r="N1193" s="387"/>
      <c r="O1193" s="387"/>
      <c r="P1193" s="551"/>
      <c r="Q1193" s="394"/>
      <c r="R1193" s="551"/>
      <c r="S1193" s="395"/>
      <c r="T1193" s="395"/>
      <c r="U1193" s="395"/>
      <c r="V1193" s="395"/>
      <c r="W1193" s="395"/>
      <c r="X1193" s="622"/>
      <c r="Y1193" s="458"/>
      <c r="Z1193" s="458"/>
      <c r="AA1193" s="458"/>
    </row>
    <row r="1194" spans="7:27" ht="14.25">
      <c r="G1194" s="388"/>
      <c r="H1194" s="389"/>
      <c r="I1194" s="388"/>
      <c r="J1194" s="391"/>
      <c r="K1194" s="392"/>
      <c r="L1194" s="392"/>
      <c r="M1194" s="392"/>
      <c r="N1194" s="388"/>
      <c r="O1194" s="388"/>
      <c r="P1194" s="392"/>
      <c r="Q1194" s="394"/>
      <c r="R1194" s="392"/>
      <c r="S1194" s="395"/>
      <c r="T1194" s="396"/>
      <c r="U1194" s="396"/>
      <c r="V1194" s="396"/>
      <c r="W1194" s="396"/>
      <c r="X1194" s="397"/>
      <c r="Y1194" s="339"/>
      <c r="Z1194" s="339"/>
      <c r="AA1194" s="339"/>
    </row>
    <row r="1195" spans="7:27" ht="14.25">
      <c r="G1195" s="387"/>
      <c r="H1195" s="549"/>
      <c r="I1195" s="387"/>
      <c r="J1195" s="550"/>
      <c r="K1195" s="551"/>
      <c r="L1195" s="551"/>
      <c r="M1195" s="551"/>
      <c r="N1195" s="387"/>
      <c r="O1195" s="387"/>
      <c r="P1195" s="551"/>
      <c r="Q1195" s="394"/>
      <c r="R1195" s="551"/>
      <c r="S1195" s="395"/>
      <c r="T1195" s="395"/>
      <c r="U1195" s="395"/>
      <c r="V1195" s="395"/>
      <c r="W1195" s="395"/>
      <c r="X1195" s="622"/>
      <c r="Y1195" s="458"/>
      <c r="Z1195" s="458"/>
      <c r="AA1195" s="458"/>
    </row>
    <row r="1196" spans="7:27" ht="14.25">
      <c r="G1196" s="388"/>
      <c r="H1196" s="389"/>
      <c r="I1196" s="388"/>
      <c r="J1196" s="391"/>
      <c r="K1196" s="392"/>
      <c r="L1196" s="392"/>
      <c r="M1196" s="392"/>
      <c r="N1196" s="388"/>
      <c r="O1196" s="388"/>
      <c r="P1196" s="392"/>
      <c r="Q1196" s="394"/>
      <c r="R1196" s="392"/>
      <c r="S1196" s="395"/>
      <c r="T1196" s="396"/>
      <c r="U1196" s="396"/>
      <c r="V1196" s="396"/>
      <c r="W1196" s="396"/>
      <c r="X1196" s="397"/>
      <c r="Y1196" s="339"/>
      <c r="Z1196" s="339"/>
      <c r="AA1196" s="339"/>
    </row>
    <row r="1197" spans="7:27" ht="14.25">
      <c r="G1197" s="387"/>
      <c r="H1197" s="549"/>
      <c r="I1197" s="387"/>
      <c r="J1197" s="550"/>
      <c r="K1197" s="551"/>
      <c r="L1197" s="551"/>
      <c r="M1197" s="551"/>
      <c r="N1197" s="387"/>
      <c r="O1197" s="387"/>
      <c r="P1197" s="551"/>
      <c r="Q1197" s="394"/>
      <c r="R1197" s="551"/>
      <c r="S1197" s="395"/>
      <c r="T1197" s="395"/>
      <c r="U1197" s="395"/>
      <c r="V1197" s="395"/>
      <c r="W1197" s="395"/>
      <c r="X1197" s="622"/>
      <c r="Y1197" s="458"/>
      <c r="Z1197" s="458"/>
      <c r="AA1197" s="458"/>
    </row>
    <row r="1198" spans="7:27" ht="14.25">
      <c r="G1198" s="388"/>
      <c r="H1198" s="389"/>
      <c r="I1198" s="388"/>
      <c r="J1198" s="391"/>
      <c r="K1198" s="392"/>
      <c r="L1198" s="392"/>
      <c r="M1198" s="392"/>
      <c r="N1198" s="388"/>
      <c r="O1198" s="388"/>
      <c r="P1198" s="392"/>
      <c r="Q1198" s="394"/>
      <c r="R1198" s="392"/>
      <c r="S1198" s="395"/>
      <c r="T1198" s="396"/>
      <c r="U1198" s="396"/>
      <c r="V1198" s="396"/>
      <c r="W1198" s="396"/>
      <c r="X1198" s="397"/>
      <c r="Y1198" s="339"/>
      <c r="Z1198" s="339"/>
      <c r="AA1198" s="339"/>
    </row>
    <row r="1199" spans="7:27" ht="14.25">
      <c r="G1199" s="387"/>
      <c r="H1199" s="549"/>
      <c r="I1199" s="387"/>
      <c r="J1199" s="550"/>
      <c r="K1199" s="551"/>
      <c r="L1199" s="551"/>
      <c r="M1199" s="551"/>
      <c r="N1199" s="387"/>
      <c r="O1199" s="387"/>
      <c r="P1199" s="551"/>
      <c r="Q1199" s="394"/>
      <c r="R1199" s="551"/>
      <c r="S1199" s="395"/>
      <c r="T1199" s="395"/>
      <c r="U1199" s="395"/>
      <c r="V1199" s="395"/>
      <c r="W1199" s="395"/>
      <c r="X1199" s="622"/>
      <c r="Y1199" s="458"/>
      <c r="Z1199" s="458"/>
      <c r="AA1199" s="458"/>
    </row>
    <row r="1200" spans="7:27" ht="14.25">
      <c r="G1200" s="388"/>
      <c r="H1200" s="389"/>
      <c r="I1200" s="388"/>
      <c r="J1200" s="391"/>
      <c r="K1200" s="392"/>
      <c r="L1200" s="392"/>
      <c r="M1200" s="392"/>
      <c r="N1200" s="388"/>
      <c r="O1200" s="388"/>
      <c r="P1200" s="392"/>
      <c r="Q1200" s="394"/>
      <c r="R1200" s="392"/>
      <c r="S1200" s="395"/>
      <c r="T1200" s="396"/>
      <c r="U1200" s="396"/>
      <c r="V1200" s="396"/>
      <c r="W1200" s="396"/>
      <c r="X1200" s="397"/>
      <c r="Y1200" s="339"/>
      <c r="Z1200" s="339"/>
      <c r="AA1200" s="339"/>
    </row>
    <row r="1201" spans="7:27" ht="14.25">
      <c r="G1201" s="387"/>
      <c r="H1201" s="549"/>
      <c r="I1201" s="387"/>
      <c r="J1201" s="550"/>
      <c r="K1201" s="551"/>
      <c r="L1201" s="551"/>
      <c r="M1201" s="551"/>
      <c r="N1201" s="387"/>
      <c r="O1201" s="387"/>
      <c r="P1201" s="551"/>
      <c r="Q1201" s="394"/>
      <c r="R1201" s="551"/>
      <c r="S1201" s="395"/>
      <c r="T1201" s="395"/>
      <c r="U1201" s="395"/>
      <c r="V1201" s="395"/>
      <c r="W1201" s="395"/>
      <c r="X1201" s="622"/>
      <c r="Y1201" s="458"/>
      <c r="Z1201" s="458"/>
      <c r="AA1201" s="458"/>
    </row>
    <row r="1202" spans="7:27" ht="14.25">
      <c r="G1202" s="388"/>
      <c r="H1202" s="389"/>
      <c r="I1202" s="388"/>
      <c r="J1202" s="391"/>
      <c r="K1202" s="392"/>
      <c r="L1202" s="392"/>
      <c r="M1202" s="392"/>
      <c r="N1202" s="388"/>
      <c r="O1202" s="388"/>
      <c r="P1202" s="392"/>
      <c r="Q1202" s="394"/>
      <c r="R1202" s="392"/>
      <c r="S1202" s="395"/>
      <c r="T1202" s="396"/>
      <c r="U1202" s="396"/>
      <c r="V1202" s="396"/>
      <c r="W1202" s="396"/>
      <c r="X1202" s="397"/>
      <c r="Y1202" s="339"/>
      <c r="Z1202" s="339"/>
      <c r="AA1202" s="339"/>
    </row>
    <row r="1203" spans="7:27" ht="14.25">
      <c r="G1203" s="387"/>
      <c r="H1203" s="549"/>
      <c r="I1203" s="387"/>
      <c r="J1203" s="550"/>
      <c r="K1203" s="551"/>
      <c r="L1203" s="551"/>
      <c r="M1203" s="551"/>
      <c r="N1203" s="387"/>
      <c r="O1203" s="387"/>
      <c r="P1203" s="551"/>
      <c r="Q1203" s="394"/>
      <c r="R1203" s="551"/>
      <c r="S1203" s="395"/>
      <c r="T1203" s="395"/>
      <c r="U1203" s="395"/>
      <c r="V1203" s="395"/>
      <c r="W1203" s="395"/>
      <c r="X1203" s="622"/>
      <c r="Y1203" s="458"/>
      <c r="Z1203" s="458"/>
      <c r="AA1203" s="458"/>
    </row>
    <row r="1204" spans="7:27" ht="14.25">
      <c r="G1204" s="388"/>
      <c r="H1204" s="389"/>
      <c r="I1204" s="388"/>
      <c r="J1204" s="391"/>
      <c r="K1204" s="392"/>
      <c r="L1204" s="392"/>
      <c r="M1204" s="392"/>
      <c r="N1204" s="388"/>
      <c r="O1204" s="388"/>
      <c r="P1204" s="392"/>
      <c r="Q1204" s="394"/>
      <c r="R1204" s="392"/>
      <c r="S1204" s="395"/>
      <c r="T1204" s="396"/>
      <c r="U1204" s="396"/>
      <c r="V1204" s="396"/>
      <c r="W1204" s="396"/>
      <c r="X1204" s="397"/>
      <c r="Y1204" s="339"/>
      <c r="Z1204" s="339"/>
      <c r="AA1204" s="339"/>
    </row>
    <row r="1205" spans="7:27" ht="14.25">
      <c r="G1205" s="387"/>
      <c r="H1205" s="549"/>
      <c r="I1205" s="387"/>
      <c r="J1205" s="550"/>
      <c r="K1205" s="551"/>
      <c r="L1205" s="551"/>
      <c r="M1205" s="551"/>
      <c r="N1205" s="387"/>
      <c r="O1205" s="387"/>
      <c r="P1205" s="551"/>
      <c r="Q1205" s="394"/>
      <c r="R1205" s="551"/>
      <c r="S1205" s="395"/>
      <c r="T1205" s="395"/>
      <c r="U1205" s="395"/>
      <c r="V1205" s="395"/>
      <c r="W1205" s="395"/>
      <c r="X1205" s="622"/>
      <c r="Y1205" s="458"/>
      <c r="Z1205" s="458"/>
      <c r="AA1205" s="458"/>
    </row>
    <row r="1206" spans="7:27" ht="14.25">
      <c r="G1206" s="388"/>
      <c r="H1206" s="389"/>
      <c r="I1206" s="388"/>
      <c r="J1206" s="391"/>
      <c r="K1206" s="392"/>
      <c r="L1206" s="392"/>
      <c r="M1206" s="392"/>
      <c r="N1206" s="388"/>
      <c r="O1206" s="388"/>
      <c r="P1206" s="392"/>
      <c r="Q1206" s="394"/>
      <c r="R1206" s="392"/>
      <c r="S1206" s="395"/>
      <c r="T1206" s="396"/>
      <c r="U1206" s="396"/>
      <c r="V1206" s="396"/>
      <c r="W1206" s="396"/>
      <c r="X1206" s="397"/>
      <c r="Y1206" s="339"/>
      <c r="Z1206" s="339"/>
      <c r="AA1206" s="339"/>
    </row>
    <row r="1207" spans="7:27" ht="14.25">
      <c r="G1207" s="387"/>
      <c r="H1207" s="549"/>
      <c r="I1207" s="387"/>
      <c r="J1207" s="550"/>
      <c r="K1207" s="551"/>
      <c r="L1207" s="551"/>
      <c r="M1207" s="551"/>
      <c r="N1207" s="387"/>
      <c r="O1207" s="387"/>
      <c r="P1207" s="551"/>
      <c r="Q1207" s="394"/>
      <c r="R1207" s="551"/>
      <c r="S1207" s="395"/>
      <c r="T1207" s="395"/>
      <c r="U1207" s="395"/>
      <c r="V1207" s="395"/>
      <c r="W1207" s="395"/>
      <c r="X1207" s="622"/>
      <c r="Y1207" s="458"/>
      <c r="Z1207" s="458"/>
      <c r="AA1207" s="458"/>
    </row>
    <row r="1208" spans="7:27" ht="14.25">
      <c r="G1208" s="388"/>
      <c r="H1208" s="389"/>
      <c r="I1208" s="388"/>
      <c r="J1208" s="391"/>
      <c r="K1208" s="392"/>
      <c r="L1208" s="392"/>
      <c r="M1208" s="392"/>
      <c r="N1208" s="388"/>
      <c r="O1208" s="388"/>
      <c r="P1208" s="392"/>
      <c r="Q1208" s="394"/>
      <c r="R1208" s="392"/>
      <c r="S1208" s="395"/>
      <c r="T1208" s="396"/>
      <c r="U1208" s="396"/>
      <c r="V1208" s="396"/>
      <c r="W1208" s="396"/>
      <c r="X1208" s="397"/>
      <c r="Y1208" s="339"/>
      <c r="Z1208" s="339"/>
      <c r="AA1208" s="339"/>
    </row>
    <row r="1209" spans="7:27" ht="14.25">
      <c r="G1209" s="387"/>
      <c r="H1209" s="549"/>
      <c r="I1209" s="387"/>
      <c r="J1209" s="550"/>
      <c r="K1209" s="551"/>
      <c r="L1209" s="551"/>
      <c r="M1209" s="551"/>
      <c r="N1209" s="387"/>
      <c r="O1209" s="387"/>
      <c r="P1209" s="551"/>
      <c r="Q1209" s="394"/>
      <c r="R1209" s="551"/>
      <c r="S1209" s="395"/>
      <c r="T1209" s="395"/>
      <c r="U1209" s="395"/>
      <c r="V1209" s="395"/>
      <c r="W1209" s="395"/>
      <c r="X1209" s="622"/>
      <c r="Y1209" s="458"/>
      <c r="Z1209" s="458"/>
      <c r="AA1209" s="458"/>
    </row>
    <row r="1210" spans="7:27" ht="14.25">
      <c r="G1210" s="388"/>
      <c r="H1210" s="389"/>
      <c r="I1210" s="388"/>
      <c r="J1210" s="391"/>
      <c r="K1210" s="392"/>
      <c r="L1210" s="392"/>
      <c r="M1210" s="392"/>
      <c r="N1210" s="388"/>
      <c r="O1210" s="388"/>
      <c r="P1210" s="392"/>
      <c r="Q1210" s="394"/>
      <c r="R1210" s="392"/>
      <c r="S1210" s="395"/>
      <c r="T1210" s="396"/>
      <c r="U1210" s="396"/>
      <c r="V1210" s="396"/>
      <c r="W1210" s="396"/>
      <c r="X1210" s="397"/>
      <c r="Y1210" s="339"/>
      <c r="Z1210" s="339"/>
      <c r="AA1210" s="339"/>
    </row>
    <row r="1211" spans="7:27" ht="14.25">
      <c r="G1211" s="387"/>
      <c r="H1211" s="549"/>
      <c r="I1211" s="387"/>
      <c r="J1211" s="550"/>
      <c r="K1211" s="551"/>
      <c r="L1211" s="551"/>
      <c r="M1211" s="551"/>
      <c r="N1211" s="387"/>
      <c r="O1211" s="387"/>
      <c r="P1211" s="551"/>
      <c r="Q1211" s="394"/>
      <c r="R1211" s="551"/>
      <c r="S1211" s="395"/>
      <c r="T1211" s="395"/>
      <c r="U1211" s="395"/>
      <c r="V1211" s="395"/>
      <c r="W1211" s="395"/>
      <c r="X1211" s="622"/>
      <c r="Y1211" s="458"/>
      <c r="Z1211" s="458"/>
      <c r="AA1211" s="458"/>
    </row>
    <row r="1212" spans="7:27" ht="14.25">
      <c r="G1212" s="388"/>
      <c r="H1212" s="389"/>
      <c r="I1212" s="388"/>
      <c r="J1212" s="391"/>
      <c r="K1212" s="392"/>
      <c r="L1212" s="392"/>
      <c r="M1212" s="392"/>
      <c r="N1212" s="388"/>
      <c r="O1212" s="388"/>
      <c r="P1212" s="392"/>
      <c r="Q1212" s="394"/>
      <c r="R1212" s="392"/>
      <c r="S1212" s="395"/>
      <c r="T1212" s="396"/>
      <c r="U1212" s="396"/>
      <c r="V1212" s="396"/>
      <c r="W1212" s="396"/>
      <c r="X1212" s="397"/>
      <c r="Y1212" s="339"/>
      <c r="Z1212" s="339"/>
      <c r="AA1212" s="339"/>
    </row>
    <row r="1213" spans="7:27" ht="14.25">
      <c r="G1213" s="387"/>
      <c r="H1213" s="549"/>
      <c r="I1213" s="387"/>
      <c r="J1213" s="550"/>
      <c r="K1213" s="551"/>
      <c r="L1213" s="551"/>
      <c r="M1213" s="551"/>
      <c r="N1213" s="387"/>
      <c r="O1213" s="387"/>
      <c r="P1213" s="551"/>
      <c r="Q1213" s="394"/>
      <c r="R1213" s="551"/>
      <c r="S1213" s="395"/>
      <c r="T1213" s="395"/>
      <c r="U1213" s="395"/>
      <c r="V1213" s="395"/>
      <c r="W1213" s="395"/>
      <c r="X1213" s="622"/>
      <c r="Y1213" s="458"/>
      <c r="Z1213" s="458"/>
      <c r="AA1213" s="458"/>
    </row>
    <row r="1214" spans="7:27" ht="14.25">
      <c r="G1214" s="388"/>
      <c r="H1214" s="389"/>
      <c r="I1214" s="388"/>
      <c r="J1214" s="391"/>
      <c r="K1214" s="392"/>
      <c r="L1214" s="392"/>
      <c r="M1214" s="392"/>
      <c r="N1214" s="388"/>
      <c r="O1214" s="388"/>
      <c r="P1214" s="392"/>
      <c r="Q1214" s="394"/>
      <c r="R1214" s="392"/>
      <c r="S1214" s="395"/>
      <c r="T1214" s="396"/>
      <c r="U1214" s="396"/>
      <c r="V1214" s="396"/>
      <c r="W1214" s="396"/>
      <c r="X1214" s="397"/>
      <c r="Y1214" s="339"/>
      <c r="Z1214" s="339"/>
      <c r="AA1214" s="339"/>
    </row>
    <row r="1215" spans="7:27" ht="14.25">
      <c r="G1215" s="387"/>
      <c r="H1215" s="549"/>
      <c r="I1215" s="387"/>
      <c r="J1215" s="550"/>
      <c r="K1215" s="551"/>
      <c r="L1215" s="551"/>
      <c r="M1215" s="551"/>
      <c r="N1215" s="387"/>
      <c r="O1215" s="387"/>
      <c r="P1215" s="551"/>
      <c r="Q1215" s="394"/>
      <c r="R1215" s="551"/>
      <c r="S1215" s="395"/>
      <c r="T1215" s="395"/>
      <c r="U1215" s="395"/>
      <c r="V1215" s="395"/>
      <c r="W1215" s="395"/>
      <c r="X1215" s="622"/>
      <c r="Y1215" s="458"/>
      <c r="Z1215" s="458"/>
      <c r="AA1215" s="458"/>
    </row>
    <row r="1216" spans="7:27" ht="14.25">
      <c r="G1216" s="388"/>
      <c r="H1216" s="389"/>
      <c r="I1216" s="388"/>
      <c r="J1216" s="391"/>
      <c r="K1216" s="392"/>
      <c r="L1216" s="392"/>
      <c r="M1216" s="392"/>
      <c r="N1216" s="388"/>
      <c r="O1216" s="388"/>
      <c r="P1216" s="392"/>
      <c r="Q1216" s="394"/>
      <c r="R1216" s="392"/>
      <c r="S1216" s="395"/>
      <c r="T1216" s="396"/>
      <c r="U1216" s="396"/>
      <c r="V1216" s="396"/>
      <c r="W1216" s="396"/>
      <c r="X1216" s="397"/>
      <c r="Y1216" s="339"/>
      <c r="Z1216" s="339"/>
      <c r="AA1216" s="339"/>
    </row>
    <row r="1217" spans="7:27" ht="14.25">
      <c r="G1217" s="387"/>
      <c r="H1217" s="549"/>
      <c r="I1217" s="387"/>
      <c r="J1217" s="550"/>
      <c r="K1217" s="551"/>
      <c r="L1217" s="551"/>
      <c r="M1217" s="551"/>
      <c r="N1217" s="387"/>
      <c r="O1217" s="387"/>
      <c r="P1217" s="551"/>
      <c r="Q1217" s="394"/>
      <c r="R1217" s="551"/>
      <c r="S1217" s="395"/>
      <c r="T1217" s="395"/>
      <c r="U1217" s="395"/>
      <c r="V1217" s="395"/>
      <c r="W1217" s="395"/>
      <c r="X1217" s="622"/>
      <c r="Y1217" s="458"/>
      <c r="Z1217" s="458"/>
      <c r="AA1217" s="458"/>
    </row>
    <row r="1218" spans="7:27" ht="14.25">
      <c r="G1218" s="388"/>
      <c r="H1218" s="389"/>
      <c r="I1218" s="388"/>
      <c r="J1218" s="391"/>
      <c r="K1218" s="392"/>
      <c r="L1218" s="392"/>
      <c r="M1218" s="392"/>
      <c r="N1218" s="388"/>
      <c r="O1218" s="388"/>
      <c r="P1218" s="392"/>
      <c r="Q1218" s="394"/>
      <c r="R1218" s="392"/>
      <c r="S1218" s="395"/>
      <c r="T1218" s="396"/>
      <c r="U1218" s="396"/>
      <c r="V1218" s="396"/>
      <c r="W1218" s="396"/>
      <c r="X1218" s="397"/>
      <c r="Y1218" s="339"/>
      <c r="Z1218" s="339"/>
      <c r="AA1218" s="339"/>
    </row>
    <row r="1219" spans="7:27" ht="14.25">
      <c r="G1219" s="387"/>
      <c r="H1219" s="549"/>
      <c r="I1219" s="387"/>
      <c r="J1219" s="550"/>
      <c r="K1219" s="551"/>
      <c r="L1219" s="551"/>
      <c r="M1219" s="551"/>
      <c r="N1219" s="387"/>
      <c r="O1219" s="387"/>
      <c r="P1219" s="551"/>
      <c r="Q1219" s="394"/>
      <c r="R1219" s="551"/>
      <c r="S1219" s="395"/>
      <c r="T1219" s="395"/>
      <c r="U1219" s="395"/>
      <c r="V1219" s="395"/>
      <c r="W1219" s="395"/>
      <c r="X1219" s="622"/>
      <c r="Y1219" s="458"/>
      <c r="Z1219" s="458"/>
      <c r="AA1219" s="458"/>
    </row>
    <row r="1220" spans="7:27" ht="14.25">
      <c r="G1220" s="388"/>
      <c r="H1220" s="389"/>
      <c r="I1220" s="388"/>
      <c r="J1220" s="391"/>
      <c r="K1220" s="392"/>
      <c r="L1220" s="392"/>
      <c r="M1220" s="392"/>
      <c r="N1220" s="388"/>
      <c r="O1220" s="388"/>
      <c r="P1220" s="392"/>
      <c r="Q1220" s="394"/>
      <c r="R1220" s="392"/>
      <c r="S1220" s="395"/>
      <c r="T1220" s="396"/>
      <c r="U1220" s="396"/>
      <c r="V1220" s="396"/>
      <c r="W1220" s="396"/>
      <c r="X1220" s="397"/>
      <c r="Y1220" s="339"/>
      <c r="Z1220" s="339"/>
      <c r="AA1220" s="339"/>
    </row>
    <row r="1221" spans="7:27" ht="14.25">
      <c r="G1221" s="387"/>
      <c r="H1221" s="549"/>
      <c r="I1221" s="387"/>
      <c r="J1221" s="550"/>
      <c r="K1221" s="551"/>
      <c r="L1221" s="551"/>
      <c r="M1221" s="551"/>
      <c r="N1221" s="387"/>
      <c r="O1221" s="387"/>
      <c r="P1221" s="551"/>
      <c r="Q1221" s="394"/>
      <c r="R1221" s="551"/>
      <c r="S1221" s="395"/>
      <c r="T1221" s="395"/>
      <c r="U1221" s="395"/>
      <c r="V1221" s="395"/>
      <c r="W1221" s="395"/>
      <c r="X1221" s="622"/>
      <c r="Y1221" s="458"/>
      <c r="Z1221" s="458"/>
      <c r="AA1221" s="458"/>
    </row>
    <row r="1222" spans="7:27" ht="14.25">
      <c r="G1222" s="388"/>
      <c r="H1222" s="389"/>
      <c r="I1222" s="388"/>
      <c r="J1222" s="391"/>
      <c r="K1222" s="392"/>
      <c r="L1222" s="392"/>
      <c r="M1222" s="392"/>
      <c r="N1222" s="388"/>
      <c r="O1222" s="388"/>
      <c r="P1222" s="392"/>
      <c r="Q1222" s="394"/>
      <c r="R1222" s="392"/>
      <c r="S1222" s="395"/>
      <c r="T1222" s="396"/>
      <c r="U1222" s="396"/>
      <c r="V1222" s="396"/>
      <c r="W1222" s="396"/>
      <c r="X1222" s="397"/>
      <c r="Y1222" s="339"/>
      <c r="Z1222" s="339"/>
      <c r="AA1222" s="339"/>
    </row>
    <row r="1223" spans="7:27" ht="14.25">
      <c r="G1223" s="387"/>
      <c r="H1223" s="549"/>
      <c r="I1223" s="387"/>
      <c r="J1223" s="550"/>
      <c r="K1223" s="551"/>
      <c r="L1223" s="551"/>
      <c r="M1223" s="551"/>
      <c r="N1223" s="387"/>
      <c r="O1223" s="387"/>
      <c r="P1223" s="551"/>
      <c r="Q1223" s="394"/>
      <c r="R1223" s="551"/>
      <c r="S1223" s="395"/>
      <c r="T1223" s="395"/>
      <c r="U1223" s="395"/>
      <c r="V1223" s="395"/>
      <c r="W1223" s="395"/>
      <c r="X1223" s="622"/>
      <c r="Y1223" s="458"/>
      <c r="Z1223" s="458"/>
      <c r="AA1223" s="458"/>
    </row>
    <row r="1224" spans="7:27" ht="14.25">
      <c r="G1224" s="388"/>
      <c r="H1224" s="389"/>
      <c r="I1224" s="388"/>
      <c r="J1224" s="391"/>
      <c r="K1224" s="392"/>
      <c r="L1224" s="392"/>
      <c r="M1224" s="392"/>
      <c r="N1224" s="388"/>
      <c r="O1224" s="388"/>
      <c r="P1224" s="392"/>
      <c r="Q1224" s="394"/>
      <c r="R1224" s="392"/>
      <c r="S1224" s="395"/>
      <c r="T1224" s="396"/>
      <c r="U1224" s="396"/>
      <c r="V1224" s="396"/>
      <c r="W1224" s="396"/>
      <c r="X1224" s="397"/>
      <c r="Y1224" s="339"/>
      <c r="Z1224" s="339"/>
      <c r="AA1224" s="339"/>
    </row>
    <row r="1225" spans="7:27" ht="14.25">
      <c r="G1225" s="387"/>
      <c r="H1225" s="549"/>
      <c r="I1225" s="387"/>
      <c r="J1225" s="550"/>
      <c r="K1225" s="551"/>
      <c r="L1225" s="551"/>
      <c r="M1225" s="551"/>
      <c r="N1225" s="387"/>
      <c r="O1225" s="387"/>
      <c r="P1225" s="551"/>
      <c r="Q1225" s="394"/>
      <c r="R1225" s="551"/>
      <c r="S1225" s="395"/>
      <c r="T1225" s="395"/>
      <c r="U1225" s="395"/>
      <c r="V1225" s="395"/>
      <c r="W1225" s="395"/>
      <c r="X1225" s="622"/>
      <c r="Y1225" s="458"/>
      <c r="Z1225" s="458"/>
      <c r="AA1225" s="458"/>
    </row>
    <row r="1226" spans="7:27" ht="14.25">
      <c r="G1226" s="388"/>
      <c r="H1226" s="389"/>
      <c r="I1226" s="388"/>
      <c r="J1226" s="391"/>
      <c r="K1226" s="392"/>
      <c r="L1226" s="392"/>
      <c r="M1226" s="392"/>
      <c r="N1226" s="388"/>
      <c r="O1226" s="388"/>
      <c r="P1226" s="392"/>
      <c r="Q1226" s="394"/>
      <c r="R1226" s="392"/>
      <c r="S1226" s="395"/>
      <c r="T1226" s="396"/>
      <c r="U1226" s="396"/>
      <c r="V1226" s="396"/>
      <c r="W1226" s="396"/>
      <c r="X1226" s="397"/>
      <c r="Y1226" s="339"/>
      <c r="Z1226" s="339"/>
      <c r="AA1226" s="339"/>
    </row>
    <row r="1227" spans="7:27" ht="14.25">
      <c r="G1227" s="387"/>
      <c r="H1227" s="549"/>
      <c r="I1227" s="387"/>
      <c r="J1227" s="550"/>
      <c r="K1227" s="551"/>
      <c r="L1227" s="551"/>
      <c r="M1227" s="551"/>
      <c r="N1227" s="387"/>
      <c r="O1227" s="387"/>
      <c r="P1227" s="551"/>
      <c r="Q1227" s="394"/>
      <c r="R1227" s="551"/>
      <c r="S1227" s="395"/>
      <c r="T1227" s="395"/>
      <c r="U1227" s="395"/>
      <c r="V1227" s="395"/>
      <c r="W1227" s="395"/>
      <c r="X1227" s="622"/>
      <c r="Y1227" s="458"/>
      <c r="Z1227" s="458"/>
      <c r="AA1227" s="458"/>
    </row>
    <row r="1228" spans="7:27" ht="14.25">
      <c r="G1228" s="388"/>
      <c r="H1228" s="389"/>
      <c r="I1228" s="388"/>
      <c r="J1228" s="391"/>
      <c r="K1228" s="392"/>
      <c r="L1228" s="392"/>
      <c r="M1228" s="392"/>
      <c r="N1228" s="388"/>
      <c r="O1228" s="388"/>
      <c r="P1228" s="392"/>
      <c r="Q1228" s="394"/>
      <c r="R1228" s="392"/>
      <c r="S1228" s="395"/>
      <c r="T1228" s="396"/>
      <c r="U1228" s="396"/>
      <c r="V1228" s="396"/>
      <c r="W1228" s="396"/>
      <c r="X1228" s="397"/>
      <c r="Y1228" s="339"/>
      <c r="Z1228" s="339"/>
      <c r="AA1228" s="339"/>
    </row>
    <row r="1229" spans="7:27" ht="14.25">
      <c r="G1229" s="387"/>
      <c r="H1229" s="549"/>
      <c r="I1229" s="387"/>
      <c r="J1229" s="550"/>
      <c r="K1229" s="551"/>
      <c r="L1229" s="551"/>
      <c r="M1229" s="551"/>
      <c r="N1229" s="387"/>
      <c r="O1229" s="387"/>
      <c r="P1229" s="551"/>
      <c r="Q1229" s="394"/>
      <c r="R1229" s="551"/>
      <c r="S1229" s="395"/>
      <c r="T1229" s="395"/>
      <c r="U1229" s="395"/>
      <c r="V1229" s="395"/>
      <c r="W1229" s="395"/>
      <c r="X1229" s="622"/>
      <c r="Y1229" s="458"/>
      <c r="Z1229" s="458"/>
      <c r="AA1229" s="458"/>
    </row>
    <row r="1230" spans="7:27" ht="14.25">
      <c r="G1230" s="388"/>
      <c r="H1230" s="389"/>
      <c r="I1230" s="388"/>
      <c r="J1230" s="391"/>
      <c r="K1230" s="392"/>
      <c r="L1230" s="392"/>
      <c r="M1230" s="392"/>
      <c r="N1230" s="388"/>
      <c r="O1230" s="388"/>
      <c r="P1230" s="392"/>
      <c r="Q1230" s="394"/>
      <c r="R1230" s="392"/>
      <c r="S1230" s="395"/>
      <c r="T1230" s="396"/>
      <c r="U1230" s="396"/>
      <c r="V1230" s="396"/>
      <c r="W1230" s="396"/>
      <c r="X1230" s="397"/>
      <c r="Y1230" s="339"/>
      <c r="Z1230" s="339"/>
      <c r="AA1230" s="339"/>
    </row>
    <row r="1231" spans="7:27" ht="14.25">
      <c r="G1231" s="387"/>
      <c r="H1231" s="549"/>
      <c r="I1231" s="387"/>
      <c r="J1231" s="550"/>
      <c r="K1231" s="551"/>
      <c r="L1231" s="551"/>
      <c r="M1231" s="551"/>
      <c r="N1231" s="387"/>
      <c r="O1231" s="387"/>
      <c r="P1231" s="551"/>
      <c r="Q1231" s="394"/>
      <c r="R1231" s="551"/>
      <c r="S1231" s="395"/>
      <c r="T1231" s="395"/>
      <c r="U1231" s="395"/>
      <c r="V1231" s="395"/>
      <c r="W1231" s="395"/>
      <c r="X1231" s="622"/>
      <c r="Y1231" s="458"/>
      <c r="Z1231" s="458"/>
      <c r="AA1231" s="458"/>
    </row>
    <row r="1232" spans="7:27" ht="14.25">
      <c r="G1232" s="388"/>
      <c r="H1232" s="389"/>
      <c r="I1232" s="388"/>
      <c r="J1232" s="391"/>
      <c r="K1232" s="392"/>
      <c r="L1232" s="392"/>
      <c r="M1232" s="392"/>
      <c r="N1232" s="388"/>
      <c r="O1232" s="388"/>
      <c r="P1232" s="392"/>
      <c r="Q1232" s="394"/>
      <c r="R1232" s="392"/>
      <c r="S1232" s="395"/>
      <c r="T1232" s="396"/>
      <c r="U1232" s="396"/>
      <c r="V1232" s="396"/>
      <c r="W1232" s="396"/>
      <c r="X1232" s="397"/>
      <c r="Y1232" s="339"/>
      <c r="Z1232" s="339"/>
      <c r="AA1232" s="339"/>
    </row>
    <row r="1233" spans="7:27" ht="14.25">
      <c r="G1233" s="387"/>
      <c r="H1233" s="549"/>
      <c r="I1233" s="387"/>
      <c r="J1233" s="550"/>
      <c r="K1233" s="551"/>
      <c r="L1233" s="551"/>
      <c r="M1233" s="551"/>
      <c r="N1233" s="387"/>
      <c r="O1233" s="387"/>
      <c r="P1233" s="551"/>
      <c r="Q1233" s="394"/>
      <c r="R1233" s="551"/>
      <c r="S1233" s="395"/>
      <c r="T1233" s="395"/>
      <c r="U1233" s="395"/>
      <c r="V1233" s="395"/>
      <c r="W1233" s="395"/>
      <c r="X1233" s="622"/>
      <c r="Y1233" s="458"/>
      <c r="Z1233" s="458"/>
      <c r="AA1233" s="458"/>
    </row>
    <row r="1234" spans="7:27" ht="14.25">
      <c r="G1234" s="388"/>
      <c r="H1234" s="389"/>
      <c r="I1234" s="388"/>
      <c r="J1234" s="391"/>
      <c r="K1234" s="392"/>
      <c r="L1234" s="392"/>
      <c r="M1234" s="392"/>
      <c r="N1234" s="388"/>
      <c r="O1234" s="388"/>
      <c r="P1234" s="392"/>
      <c r="Q1234" s="394"/>
      <c r="R1234" s="392"/>
      <c r="S1234" s="395"/>
      <c r="T1234" s="396"/>
      <c r="U1234" s="396"/>
      <c r="V1234" s="396"/>
      <c r="W1234" s="396"/>
      <c r="X1234" s="397"/>
      <c r="Y1234" s="339"/>
      <c r="Z1234" s="339"/>
      <c r="AA1234" s="339"/>
    </row>
    <row r="1235" spans="7:27" ht="14.25">
      <c r="G1235" s="387"/>
      <c r="H1235" s="549"/>
      <c r="I1235" s="387"/>
      <c r="J1235" s="550"/>
      <c r="K1235" s="551"/>
      <c r="L1235" s="551"/>
      <c r="M1235" s="551"/>
      <c r="N1235" s="387"/>
      <c r="O1235" s="387"/>
      <c r="P1235" s="551"/>
      <c r="Q1235" s="394"/>
      <c r="R1235" s="551"/>
      <c r="S1235" s="395"/>
      <c r="T1235" s="395"/>
      <c r="U1235" s="395"/>
      <c r="V1235" s="395"/>
      <c r="W1235" s="395"/>
      <c r="X1235" s="622"/>
      <c r="Y1235" s="458"/>
      <c r="Z1235" s="458"/>
      <c r="AA1235" s="458"/>
    </row>
    <row r="1236" spans="7:27" ht="14.25">
      <c r="G1236" s="388"/>
      <c r="H1236" s="389"/>
      <c r="I1236" s="388"/>
      <c r="J1236" s="391"/>
      <c r="K1236" s="392"/>
      <c r="L1236" s="392"/>
      <c r="M1236" s="392"/>
      <c r="N1236" s="388"/>
      <c r="O1236" s="388"/>
      <c r="P1236" s="392"/>
      <c r="Q1236" s="394"/>
      <c r="R1236" s="392"/>
      <c r="S1236" s="395"/>
      <c r="T1236" s="396"/>
      <c r="U1236" s="396"/>
      <c r="V1236" s="396"/>
      <c r="W1236" s="396"/>
      <c r="X1236" s="397"/>
      <c r="Y1236" s="339"/>
      <c r="Z1236" s="339"/>
      <c r="AA1236" s="339"/>
    </row>
    <row r="1237" spans="7:27" ht="14.25">
      <c r="G1237" s="387"/>
      <c r="H1237" s="549"/>
      <c r="I1237" s="387"/>
      <c r="J1237" s="550"/>
      <c r="K1237" s="551"/>
      <c r="L1237" s="551"/>
      <c r="M1237" s="551"/>
      <c r="N1237" s="387"/>
      <c r="O1237" s="387"/>
      <c r="P1237" s="551"/>
      <c r="Q1237" s="394"/>
      <c r="R1237" s="551"/>
      <c r="S1237" s="395"/>
      <c r="T1237" s="395"/>
      <c r="U1237" s="395"/>
      <c r="V1237" s="395"/>
      <c r="W1237" s="395"/>
      <c r="X1237" s="622"/>
      <c r="Y1237" s="458"/>
      <c r="Z1237" s="458"/>
      <c r="AA1237" s="458"/>
    </row>
    <row r="1238" spans="7:27" ht="14.25">
      <c r="G1238" s="388"/>
      <c r="H1238" s="389"/>
      <c r="I1238" s="388"/>
      <c r="J1238" s="391"/>
      <c r="K1238" s="392"/>
      <c r="L1238" s="392"/>
      <c r="M1238" s="392"/>
      <c r="N1238" s="388"/>
      <c r="O1238" s="388"/>
      <c r="P1238" s="392"/>
      <c r="Q1238" s="394"/>
      <c r="R1238" s="392"/>
      <c r="S1238" s="395"/>
      <c r="T1238" s="396"/>
      <c r="U1238" s="396"/>
      <c r="V1238" s="396"/>
      <c r="W1238" s="396"/>
      <c r="X1238" s="397"/>
      <c r="Y1238" s="339"/>
      <c r="Z1238" s="339"/>
      <c r="AA1238" s="339"/>
    </row>
    <row r="1239" spans="7:27" ht="14.25">
      <c r="G1239" s="387"/>
      <c r="H1239" s="549"/>
      <c r="I1239" s="387"/>
      <c r="J1239" s="550"/>
      <c r="K1239" s="551"/>
      <c r="L1239" s="551"/>
      <c r="M1239" s="551"/>
      <c r="N1239" s="387"/>
      <c r="O1239" s="387"/>
      <c r="P1239" s="551"/>
      <c r="Q1239" s="394"/>
      <c r="R1239" s="551"/>
      <c r="S1239" s="395"/>
      <c r="T1239" s="395"/>
      <c r="U1239" s="395"/>
      <c r="V1239" s="395"/>
      <c r="W1239" s="395"/>
      <c r="X1239" s="622"/>
      <c r="Y1239" s="458"/>
      <c r="Z1239" s="458"/>
      <c r="AA1239" s="458"/>
    </row>
    <row r="1240" spans="7:27" ht="14.25">
      <c r="G1240" s="388"/>
      <c r="H1240" s="389"/>
      <c r="I1240" s="388"/>
      <c r="J1240" s="391"/>
      <c r="K1240" s="392"/>
      <c r="L1240" s="392"/>
      <c r="M1240" s="392"/>
      <c r="N1240" s="388"/>
      <c r="O1240" s="388"/>
      <c r="P1240" s="392"/>
      <c r="Q1240" s="394"/>
      <c r="R1240" s="392"/>
      <c r="S1240" s="395"/>
      <c r="T1240" s="396"/>
      <c r="U1240" s="396"/>
      <c r="V1240" s="396"/>
      <c r="W1240" s="396"/>
      <c r="X1240" s="397"/>
      <c r="Y1240" s="339"/>
      <c r="Z1240" s="339"/>
      <c r="AA1240" s="339"/>
    </row>
    <row r="1241" spans="7:27" ht="14.25">
      <c r="G1241" s="387"/>
      <c r="H1241" s="549"/>
      <c r="I1241" s="387"/>
      <c r="J1241" s="550"/>
      <c r="K1241" s="551"/>
      <c r="L1241" s="551"/>
      <c r="M1241" s="551"/>
      <c r="N1241" s="387"/>
      <c r="O1241" s="387"/>
      <c r="P1241" s="551"/>
      <c r="Q1241" s="394"/>
      <c r="R1241" s="551"/>
      <c r="S1241" s="395"/>
      <c r="T1241" s="395"/>
      <c r="U1241" s="395"/>
      <c r="V1241" s="395"/>
      <c r="W1241" s="395"/>
      <c r="X1241" s="622"/>
      <c r="Y1241" s="458"/>
      <c r="Z1241" s="458"/>
      <c r="AA1241" s="458"/>
    </row>
    <row r="1242" spans="7:27" ht="14.25">
      <c r="G1242" s="388"/>
      <c r="H1242" s="389"/>
      <c r="I1242" s="388"/>
      <c r="J1242" s="391"/>
      <c r="K1242" s="392"/>
      <c r="L1242" s="392"/>
      <c r="M1242" s="392"/>
      <c r="N1242" s="388"/>
      <c r="O1242" s="388"/>
      <c r="P1242" s="392"/>
      <c r="Q1242" s="394"/>
      <c r="R1242" s="392"/>
      <c r="S1242" s="395"/>
      <c r="T1242" s="396"/>
      <c r="U1242" s="396"/>
      <c r="V1242" s="396"/>
      <c r="W1242" s="396"/>
      <c r="X1242" s="397"/>
      <c r="Y1242" s="339"/>
      <c r="Z1242" s="339"/>
      <c r="AA1242" s="339"/>
    </row>
    <row r="1243" spans="7:27" ht="14.25">
      <c r="G1243" s="387"/>
      <c r="H1243" s="549"/>
      <c r="I1243" s="387"/>
      <c r="J1243" s="550"/>
      <c r="K1243" s="551"/>
      <c r="L1243" s="551"/>
      <c r="M1243" s="551"/>
      <c r="N1243" s="387"/>
      <c r="O1243" s="387"/>
      <c r="P1243" s="551"/>
      <c r="Q1243" s="394"/>
      <c r="R1243" s="551"/>
      <c r="S1243" s="395"/>
      <c r="T1243" s="395"/>
      <c r="U1243" s="395"/>
      <c r="V1243" s="395"/>
      <c r="W1243" s="395"/>
      <c r="X1243" s="622"/>
      <c r="Y1243" s="458"/>
      <c r="Z1243" s="458"/>
      <c r="AA1243" s="458"/>
    </row>
    <row r="1244" spans="7:27" ht="14.25">
      <c r="G1244" s="388"/>
      <c r="H1244" s="389"/>
      <c r="I1244" s="388"/>
      <c r="J1244" s="391"/>
      <c r="K1244" s="392"/>
      <c r="L1244" s="392"/>
      <c r="M1244" s="392"/>
      <c r="N1244" s="388"/>
      <c r="O1244" s="388"/>
      <c r="P1244" s="392"/>
      <c r="Q1244" s="394"/>
      <c r="R1244" s="392"/>
      <c r="S1244" s="395"/>
      <c r="T1244" s="396"/>
      <c r="U1244" s="396"/>
      <c r="V1244" s="396"/>
      <c r="W1244" s="396"/>
      <c r="X1244" s="397"/>
      <c r="Y1244" s="339"/>
      <c r="Z1244" s="339"/>
      <c r="AA1244" s="339"/>
    </row>
    <row r="1245" spans="7:27" ht="14.25">
      <c r="G1245" s="387"/>
      <c r="H1245" s="549"/>
      <c r="I1245" s="387"/>
      <c r="J1245" s="550"/>
      <c r="K1245" s="551"/>
      <c r="L1245" s="551"/>
      <c r="M1245" s="551"/>
      <c r="N1245" s="387"/>
      <c r="O1245" s="387"/>
      <c r="P1245" s="551"/>
      <c r="Q1245" s="394"/>
      <c r="R1245" s="551"/>
      <c r="S1245" s="395"/>
      <c r="T1245" s="395"/>
      <c r="U1245" s="395"/>
      <c r="V1245" s="395"/>
      <c r="W1245" s="395"/>
      <c r="X1245" s="622"/>
      <c r="Y1245" s="458"/>
      <c r="Z1245" s="458"/>
      <c r="AA1245" s="458"/>
    </row>
    <row r="1246" spans="7:27" ht="14.25">
      <c r="G1246" s="388"/>
      <c r="H1246" s="389"/>
      <c r="I1246" s="388"/>
      <c r="J1246" s="391"/>
      <c r="K1246" s="392"/>
      <c r="L1246" s="392"/>
      <c r="M1246" s="392"/>
      <c r="N1246" s="388"/>
      <c r="O1246" s="388"/>
      <c r="P1246" s="392"/>
      <c r="Q1246" s="394"/>
      <c r="R1246" s="392"/>
      <c r="S1246" s="395"/>
      <c r="T1246" s="396"/>
      <c r="U1246" s="396"/>
      <c r="V1246" s="396"/>
      <c r="W1246" s="396"/>
      <c r="X1246" s="397"/>
      <c r="Y1246" s="339"/>
      <c r="Z1246" s="339"/>
      <c r="AA1246" s="339"/>
    </row>
    <row r="1247" spans="7:27" ht="14.25">
      <c r="G1247" s="387"/>
      <c r="H1247" s="549"/>
      <c r="I1247" s="387"/>
      <c r="J1247" s="550"/>
      <c r="K1247" s="551"/>
      <c r="L1247" s="551"/>
      <c r="M1247" s="551"/>
      <c r="N1247" s="387"/>
      <c r="O1247" s="387"/>
      <c r="P1247" s="551"/>
      <c r="Q1247" s="394"/>
      <c r="R1247" s="551"/>
      <c r="S1247" s="395"/>
      <c r="T1247" s="395"/>
      <c r="U1247" s="395"/>
      <c r="V1247" s="395"/>
      <c r="W1247" s="395"/>
      <c r="X1247" s="622"/>
      <c r="Y1247" s="458"/>
      <c r="Z1247" s="458"/>
      <c r="AA1247" s="458"/>
    </row>
    <row r="1248" spans="7:27" ht="14.25">
      <c r="G1248" s="388"/>
      <c r="H1248" s="389"/>
      <c r="I1248" s="388"/>
      <c r="J1248" s="391"/>
      <c r="K1248" s="392"/>
      <c r="L1248" s="392"/>
      <c r="M1248" s="392"/>
      <c r="N1248" s="388"/>
      <c r="O1248" s="388"/>
      <c r="P1248" s="392"/>
      <c r="Q1248" s="394"/>
      <c r="R1248" s="392"/>
      <c r="S1248" s="395"/>
      <c r="T1248" s="396"/>
      <c r="U1248" s="396"/>
      <c r="V1248" s="396"/>
      <c r="W1248" s="396"/>
      <c r="X1248" s="397"/>
      <c r="Y1248" s="339"/>
      <c r="Z1248" s="339"/>
      <c r="AA1248" s="339"/>
    </row>
    <row r="1249" spans="7:27" ht="14.25">
      <c r="G1249" s="387"/>
      <c r="H1249" s="549"/>
      <c r="I1249" s="387"/>
      <c r="J1249" s="550"/>
      <c r="K1249" s="551"/>
      <c r="L1249" s="551"/>
      <c r="M1249" s="551"/>
      <c r="N1249" s="387"/>
      <c r="O1249" s="387"/>
      <c r="P1249" s="551"/>
      <c r="Q1249" s="394"/>
      <c r="R1249" s="551"/>
      <c r="S1249" s="395"/>
      <c r="T1249" s="395"/>
      <c r="U1249" s="395"/>
      <c r="V1249" s="395"/>
      <c r="W1249" s="395"/>
      <c r="X1249" s="622"/>
      <c r="Y1249" s="458"/>
      <c r="Z1249" s="458"/>
      <c r="AA1249" s="458"/>
    </row>
    <row r="1250" spans="7:27" ht="14.25">
      <c r="G1250" s="388"/>
      <c r="H1250" s="389"/>
      <c r="I1250" s="388"/>
      <c r="J1250" s="391"/>
      <c r="K1250" s="392"/>
      <c r="L1250" s="392"/>
      <c r="M1250" s="392"/>
      <c r="N1250" s="388"/>
      <c r="O1250" s="388"/>
      <c r="P1250" s="392"/>
      <c r="Q1250" s="394"/>
      <c r="R1250" s="392"/>
      <c r="S1250" s="395"/>
      <c r="T1250" s="396"/>
      <c r="U1250" s="396"/>
      <c r="V1250" s="396"/>
      <c r="W1250" s="396"/>
      <c r="X1250" s="397"/>
      <c r="Y1250" s="339"/>
      <c r="Z1250" s="339"/>
      <c r="AA1250" s="339"/>
    </row>
    <row r="1251" spans="7:27" ht="14.25">
      <c r="G1251" s="387"/>
      <c r="H1251" s="549"/>
      <c r="I1251" s="387"/>
      <c r="J1251" s="550"/>
      <c r="K1251" s="551"/>
      <c r="L1251" s="551"/>
      <c r="M1251" s="551"/>
      <c r="N1251" s="387"/>
      <c r="O1251" s="387"/>
      <c r="P1251" s="551"/>
      <c r="Q1251" s="394"/>
      <c r="R1251" s="551"/>
      <c r="S1251" s="395"/>
      <c r="T1251" s="395"/>
      <c r="U1251" s="395"/>
      <c r="V1251" s="395"/>
      <c r="W1251" s="395"/>
      <c r="X1251" s="622"/>
      <c r="Y1251" s="458"/>
      <c r="Z1251" s="458"/>
      <c r="AA1251" s="458"/>
    </row>
    <row r="1252" spans="7:27" ht="14.25">
      <c r="G1252" s="388"/>
      <c r="H1252" s="389"/>
      <c r="I1252" s="388"/>
      <c r="J1252" s="391"/>
      <c r="K1252" s="392"/>
      <c r="L1252" s="392"/>
      <c r="M1252" s="392"/>
      <c r="N1252" s="388"/>
      <c r="O1252" s="388"/>
      <c r="P1252" s="392"/>
      <c r="Q1252" s="394"/>
      <c r="R1252" s="392"/>
      <c r="S1252" s="395"/>
      <c r="T1252" s="396"/>
      <c r="U1252" s="396"/>
      <c r="V1252" s="396"/>
      <c r="W1252" s="396"/>
      <c r="X1252" s="397"/>
      <c r="Y1252" s="339"/>
      <c r="Z1252" s="339"/>
      <c r="AA1252" s="339"/>
    </row>
    <row r="1253" spans="7:27" ht="14.25">
      <c r="G1253" s="387"/>
      <c r="H1253" s="549"/>
      <c r="I1253" s="387"/>
      <c r="J1253" s="550"/>
      <c r="K1253" s="551"/>
      <c r="L1253" s="551"/>
      <c r="M1253" s="551"/>
      <c r="N1253" s="387"/>
      <c r="O1253" s="387"/>
      <c r="P1253" s="551"/>
      <c r="Q1253" s="394"/>
      <c r="R1253" s="551"/>
      <c r="S1253" s="395"/>
      <c r="T1253" s="395"/>
      <c r="U1253" s="395"/>
      <c r="V1253" s="395"/>
      <c r="W1253" s="395"/>
      <c r="X1253" s="622"/>
      <c r="Y1253" s="458"/>
      <c r="Z1253" s="458"/>
      <c r="AA1253" s="458"/>
    </row>
    <row r="1254" spans="7:27" ht="14.25">
      <c r="G1254" s="388"/>
      <c r="H1254" s="389"/>
      <c r="I1254" s="388"/>
      <c r="J1254" s="391"/>
      <c r="K1254" s="392"/>
      <c r="L1254" s="392"/>
      <c r="M1254" s="392"/>
      <c r="N1254" s="388"/>
      <c r="O1254" s="388"/>
      <c r="P1254" s="392"/>
      <c r="Q1254" s="394"/>
      <c r="R1254" s="392"/>
      <c r="S1254" s="395"/>
      <c r="T1254" s="396"/>
      <c r="U1254" s="396"/>
      <c r="V1254" s="396"/>
      <c r="W1254" s="396"/>
      <c r="X1254" s="397"/>
      <c r="Y1254" s="339"/>
      <c r="Z1254" s="339"/>
      <c r="AA1254" s="339"/>
    </row>
    <row r="1255" spans="7:27" ht="14.25">
      <c r="G1255" s="387"/>
      <c r="H1255" s="549"/>
      <c r="I1255" s="387"/>
      <c r="J1255" s="550"/>
      <c r="K1255" s="551"/>
      <c r="L1255" s="551"/>
      <c r="M1255" s="551"/>
      <c r="N1255" s="387"/>
      <c r="O1255" s="387"/>
      <c r="P1255" s="551"/>
      <c r="Q1255" s="394"/>
      <c r="R1255" s="551"/>
      <c r="S1255" s="395"/>
      <c r="T1255" s="395"/>
      <c r="U1255" s="395"/>
      <c r="V1255" s="395"/>
      <c r="W1255" s="395"/>
      <c r="X1255" s="622"/>
      <c r="Y1255" s="458"/>
      <c r="Z1255" s="458"/>
      <c r="AA1255" s="458"/>
    </row>
    <row r="1256" spans="7:27" ht="14.25">
      <c r="G1256" s="388"/>
      <c r="H1256" s="389"/>
      <c r="I1256" s="388"/>
      <c r="J1256" s="391"/>
      <c r="K1256" s="392"/>
      <c r="L1256" s="392"/>
      <c r="M1256" s="392"/>
      <c r="N1256" s="388"/>
      <c r="O1256" s="388"/>
      <c r="P1256" s="392"/>
      <c r="Q1256" s="394"/>
      <c r="R1256" s="392"/>
      <c r="S1256" s="395"/>
      <c r="T1256" s="396"/>
      <c r="U1256" s="396"/>
      <c r="V1256" s="396"/>
      <c r="W1256" s="396"/>
      <c r="X1256" s="397"/>
      <c r="Y1256" s="339"/>
      <c r="Z1256" s="339"/>
      <c r="AA1256" s="339"/>
    </row>
    <row r="1257" spans="7:27" ht="14.25">
      <c r="G1257" s="387"/>
      <c r="H1257" s="549"/>
      <c r="I1257" s="387"/>
      <c r="J1257" s="550"/>
      <c r="K1257" s="551"/>
      <c r="L1257" s="551"/>
      <c r="M1257" s="551"/>
      <c r="N1257" s="387"/>
      <c r="O1257" s="387"/>
      <c r="P1257" s="551"/>
      <c r="Q1257" s="394"/>
      <c r="R1257" s="551"/>
      <c r="S1257" s="395"/>
      <c r="T1257" s="395"/>
      <c r="U1257" s="395"/>
      <c r="V1257" s="395"/>
      <c r="W1257" s="395"/>
      <c r="X1257" s="622"/>
      <c r="Y1257" s="458"/>
      <c r="Z1257" s="458"/>
      <c r="AA1257" s="458"/>
    </row>
    <row r="1258" spans="7:27" ht="14.25">
      <c r="G1258" s="387"/>
      <c r="H1258" s="549"/>
      <c r="I1258" s="387"/>
      <c r="J1258" s="550"/>
      <c r="K1258" s="551"/>
      <c r="L1258" s="551"/>
      <c r="M1258" s="551"/>
      <c r="N1258" s="387"/>
      <c r="O1258" s="387"/>
      <c r="P1258" s="551"/>
      <c r="Q1258" s="394"/>
      <c r="R1258" s="551"/>
      <c r="S1258" s="395"/>
      <c r="T1258" s="395"/>
      <c r="U1258" s="395"/>
      <c r="V1258" s="395"/>
      <c r="W1258" s="395"/>
      <c r="X1258" s="622"/>
      <c r="Y1258" s="458"/>
      <c r="Z1258" s="458"/>
      <c r="AA1258" s="458"/>
    </row>
    <row r="1259" spans="7:27" ht="14.25">
      <c r="G1259" s="387"/>
      <c r="H1259" s="549"/>
      <c r="I1259" s="387"/>
      <c r="J1259" s="550"/>
      <c r="K1259" s="551"/>
      <c r="L1259" s="551"/>
      <c r="M1259" s="551"/>
      <c r="N1259" s="387"/>
      <c r="O1259" s="387"/>
      <c r="P1259" s="551"/>
      <c r="Q1259" s="394"/>
      <c r="R1259" s="551"/>
      <c r="S1259" s="395"/>
      <c r="T1259" s="395"/>
      <c r="U1259" s="395"/>
      <c r="V1259" s="395"/>
      <c r="W1259" s="395"/>
      <c r="X1259" s="622"/>
      <c r="Y1259" s="458"/>
      <c r="Z1259" s="458"/>
      <c r="AA1259" s="458"/>
    </row>
    <row r="1260" spans="7:27" ht="14.25">
      <c r="G1260" s="387"/>
      <c r="H1260" s="549"/>
      <c r="I1260" s="387"/>
      <c r="J1260" s="550"/>
      <c r="K1260" s="551"/>
      <c r="L1260" s="551"/>
      <c r="M1260" s="551"/>
      <c r="N1260" s="387"/>
      <c r="O1260" s="387"/>
      <c r="P1260" s="551"/>
      <c r="Q1260" s="394"/>
      <c r="R1260" s="551"/>
      <c r="S1260" s="395"/>
      <c r="T1260" s="395"/>
      <c r="U1260" s="395"/>
      <c r="V1260" s="395"/>
      <c r="W1260" s="395"/>
      <c r="X1260" s="622"/>
      <c r="Y1260" s="458"/>
      <c r="Z1260" s="458"/>
      <c r="AA1260" s="458"/>
    </row>
    <row r="1261" spans="7:27" ht="14.25">
      <c r="G1261" s="387"/>
      <c r="H1261" s="549"/>
      <c r="I1261" s="387"/>
      <c r="J1261" s="550"/>
      <c r="K1261" s="551"/>
      <c r="L1261" s="551"/>
      <c r="M1261" s="551"/>
      <c r="N1261" s="387"/>
      <c r="O1261" s="387"/>
      <c r="P1261" s="551"/>
      <c r="Q1261" s="394"/>
      <c r="R1261" s="551"/>
      <c r="S1261" s="395"/>
      <c r="T1261" s="395"/>
      <c r="U1261" s="395"/>
      <c r="V1261" s="395"/>
      <c r="W1261" s="395"/>
      <c r="X1261" s="622"/>
      <c r="Y1261" s="458"/>
      <c r="Z1261" s="458"/>
      <c r="AA1261" s="458"/>
    </row>
    <row r="1262" spans="7:27" ht="14.25">
      <c r="G1262" s="388"/>
      <c r="H1262" s="389"/>
      <c r="I1262" s="388"/>
      <c r="J1262" s="391"/>
      <c r="K1262" s="392"/>
      <c r="L1262" s="392"/>
      <c r="M1262" s="392"/>
      <c r="N1262" s="388"/>
      <c r="O1262" s="388"/>
      <c r="P1262" s="392"/>
      <c r="Q1262" s="394"/>
      <c r="R1262" s="392"/>
      <c r="S1262" s="395"/>
      <c r="T1262" s="396"/>
      <c r="U1262" s="396"/>
      <c r="V1262" s="396"/>
      <c r="W1262" s="396"/>
      <c r="X1262" s="397"/>
      <c r="Y1262" s="339"/>
      <c r="Z1262" s="339"/>
      <c r="AA1262" s="339"/>
    </row>
    <row r="1263" spans="7:27" ht="14.25">
      <c r="G1263" s="387"/>
      <c r="H1263" s="549"/>
      <c r="I1263" s="387"/>
      <c r="J1263" s="550"/>
      <c r="K1263" s="551"/>
      <c r="L1263" s="551"/>
      <c r="M1263" s="551"/>
      <c r="N1263" s="387"/>
      <c r="O1263" s="387"/>
      <c r="P1263" s="551"/>
      <c r="Q1263" s="394"/>
      <c r="R1263" s="551"/>
      <c r="S1263" s="395"/>
      <c r="T1263" s="395"/>
      <c r="U1263" s="395"/>
      <c r="V1263" s="395"/>
      <c r="W1263" s="395"/>
      <c r="X1263" s="622"/>
      <c r="Y1263" s="458"/>
      <c r="Z1263" s="458"/>
      <c r="AA1263" s="458"/>
    </row>
    <row r="1264" spans="7:27" ht="14.25">
      <c r="G1264" s="388"/>
      <c r="H1264" s="389"/>
      <c r="I1264" s="388"/>
      <c r="J1264" s="391"/>
      <c r="K1264" s="392"/>
      <c r="L1264" s="392"/>
      <c r="M1264" s="392"/>
      <c r="N1264" s="388"/>
      <c r="O1264" s="388"/>
      <c r="P1264" s="392"/>
      <c r="Q1264" s="394"/>
      <c r="R1264" s="392"/>
      <c r="S1264" s="395"/>
      <c r="T1264" s="396"/>
      <c r="U1264" s="396"/>
      <c r="V1264" s="396"/>
      <c r="W1264" s="396"/>
      <c r="X1264" s="397"/>
      <c r="Y1264" s="339"/>
      <c r="Z1264" s="339"/>
      <c r="AA1264" s="339"/>
    </row>
    <row r="1265" spans="7:27" ht="14.25">
      <c r="G1265" s="387"/>
      <c r="H1265" s="549"/>
      <c r="I1265" s="387"/>
      <c r="J1265" s="550"/>
      <c r="K1265" s="551"/>
      <c r="L1265" s="551"/>
      <c r="M1265" s="551"/>
      <c r="N1265" s="387"/>
      <c r="O1265" s="387"/>
      <c r="P1265" s="551"/>
      <c r="Q1265" s="394"/>
      <c r="R1265" s="551"/>
      <c r="S1265" s="395"/>
      <c r="T1265" s="395"/>
      <c r="U1265" s="395"/>
      <c r="V1265" s="395"/>
      <c r="W1265" s="395"/>
      <c r="X1265" s="622"/>
      <c r="Y1265" s="458"/>
      <c r="Z1265" s="458"/>
      <c r="AA1265" s="458"/>
    </row>
    <row r="1266" spans="7:27" ht="14.25">
      <c r="G1266" s="388"/>
      <c r="H1266" s="389"/>
      <c r="I1266" s="388"/>
      <c r="J1266" s="391"/>
      <c r="K1266" s="392"/>
      <c r="L1266" s="392"/>
      <c r="M1266" s="392"/>
      <c r="N1266" s="388"/>
      <c r="O1266" s="388"/>
      <c r="P1266" s="392"/>
      <c r="Q1266" s="394"/>
      <c r="R1266" s="392"/>
      <c r="S1266" s="395"/>
      <c r="T1266" s="396"/>
      <c r="U1266" s="396"/>
      <c r="V1266" s="396"/>
      <c r="W1266" s="396"/>
      <c r="X1266" s="397"/>
      <c r="Y1266" s="339"/>
      <c r="Z1266" s="339"/>
      <c r="AA1266" s="339"/>
    </row>
    <row r="1267" spans="7:27" ht="14.25">
      <c r="G1267" s="387"/>
      <c r="H1267" s="549"/>
      <c r="I1267" s="387"/>
      <c r="J1267" s="550"/>
      <c r="K1267" s="551"/>
      <c r="L1267" s="551"/>
      <c r="M1267" s="551"/>
      <c r="N1267" s="387"/>
      <c r="O1267" s="387"/>
      <c r="P1267" s="551"/>
      <c r="Q1267" s="394"/>
      <c r="R1267" s="551"/>
      <c r="S1267" s="395"/>
      <c r="T1267" s="395"/>
      <c r="U1267" s="395"/>
      <c r="V1267" s="395"/>
      <c r="W1267" s="395"/>
      <c r="X1267" s="622"/>
      <c r="Y1267" s="458"/>
      <c r="Z1267" s="458"/>
      <c r="AA1267" s="458"/>
    </row>
    <row r="1268" spans="7:27" ht="14.25">
      <c r="G1268" s="388"/>
      <c r="H1268" s="389"/>
      <c r="I1268" s="388"/>
      <c r="J1268" s="391"/>
      <c r="K1268" s="392"/>
      <c r="L1268" s="392"/>
      <c r="M1268" s="392"/>
      <c r="N1268" s="388"/>
      <c r="O1268" s="388"/>
      <c r="P1268" s="392"/>
      <c r="Q1268" s="394"/>
      <c r="R1268" s="392"/>
      <c r="S1268" s="395"/>
      <c r="T1268" s="396"/>
      <c r="U1268" s="396"/>
      <c r="V1268" s="396"/>
      <c r="W1268" s="396"/>
      <c r="X1268" s="397"/>
      <c r="Y1268" s="339"/>
      <c r="Z1268" s="339"/>
      <c r="AA1268" s="339"/>
    </row>
    <row r="1269" spans="7:27" ht="14.25">
      <c r="G1269" s="387"/>
      <c r="H1269" s="549"/>
      <c r="I1269" s="387"/>
      <c r="J1269" s="550"/>
      <c r="K1269" s="551"/>
      <c r="L1269" s="551"/>
      <c r="M1269" s="551"/>
      <c r="N1269" s="387"/>
      <c r="O1269" s="387"/>
      <c r="P1269" s="551"/>
      <c r="Q1269" s="394"/>
      <c r="R1269" s="551"/>
      <c r="S1269" s="395"/>
      <c r="T1269" s="395"/>
      <c r="U1269" s="395"/>
      <c r="V1269" s="395"/>
      <c r="W1269" s="395"/>
      <c r="X1269" s="622"/>
      <c r="Y1269" s="458"/>
      <c r="Z1269" s="458"/>
      <c r="AA1269" s="458"/>
    </row>
    <row r="1270" spans="7:27" ht="14.25">
      <c r="G1270" s="388"/>
      <c r="H1270" s="389"/>
      <c r="I1270" s="388"/>
      <c r="J1270" s="391"/>
      <c r="K1270" s="392"/>
      <c r="L1270" s="392"/>
      <c r="M1270" s="392"/>
      <c r="N1270" s="388"/>
      <c r="O1270" s="388"/>
      <c r="P1270" s="392"/>
      <c r="Q1270" s="394"/>
      <c r="R1270" s="392"/>
      <c r="S1270" s="395"/>
      <c r="T1270" s="396"/>
      <c r="U1270" s="396"/>
      <c r="V1270" s="396"/>
      <c r="W1270" s="396"/>
      <c r="X1270" s="397"/>
      <c r="Y1270" s="339"/>
      <c r="Z1270" s="339"/>
      <c r="AA1270" s="339"/>
    </row>
    <row r="1271" spans="7:27" ht="14.25">
      <c r="G1271" s="387"/>
      <c r="H1271" s="549"/>
      <c r="I1271" s="387"/>
      <c r="J1271" s="550"/>
      <c r="K1271" s="551"/>
      <c r="L1271" s="551"/>
      <c r="M1271" s="551"/>
      <c r="N1271" s="387"/>
      <c r="O1271" s="387"/>
      <c r="P1271" s="551"/>
      <c r="Q1271" s="394"/>
      <c r="R1271" s="551"/>
      <c r="S1271" s="395"/>
      <c r="T1271" s="395"/>
      <c r="U1271" s="395"/>
      <c r="V1271" s="395"/>
      <c r="W1271" s="395"/>
      <c r="X1271" s="622"/>
      <c r="Y1271" s="458"/>
      <c r="Z1271" s="458"/>
      <c r="AA1271" s="458"/>
    </row>
    <row r="1272" spans="7:27" ht="14.25">
      <c r="G1272" s="388"/>
      <c r="H1272" s="389"/>
      <c r="I1272" s="388"/>
      <c r="J1272" s="391"/>
      <c r="K1272" s="392"/>
      <c r="L1272" s="392"/>
      <c r="M1272" s="392"/>
      <c r="N1272" s="388"/>
      <c r="O1272" s="388"/>
      <c r="P1272" s="392"/>
      <c r="Q1272" s="394"/>
      <c r="R1272" s="392"/>
      <c r="S1272" s="395"/>
      <c r="T1272" s="396"/>
      <c r="U1272" s="396"/>
      <c r="V1272" s="396"/>
      <c r="W1272" s="396"/>
      <c r="X1272" s="397"/>
      <c r="Y1272" s="339"/>
      <c r="Z1272" s="339"/>
      <c r="AA1272" s="339"/>
    </row>
    <row r="1273" spans="7:27" ht="14.25">
      <c r="G1273" s="387"/>
      <c r="H1273" s="549"/>
      <c r="I1273" s="387"/>
      <c r="J1273" s="550"/>
      <c r="K1273" s="551"/>
      <c r="L1273" s="551"/>
      <c r="M1273" s="551"/>
      <c r="N1273" s="387"/>
      <c r="O1273" s="387"/>
      <c r="P1273" s="551"/>
      <c r="Q1273" s="394"/>
      <c r="R1273" s="551"/>
      <c r="S1273" s="395"/>
      <c r="T1273" s="395"/>
      <c r="U1273" s="395"/>
      <c r="V1273" s="395"/>
      <c r="W1273" s="395"/>
      <c r="X1273" s="622"/>
      <c r="Y1273" s="458"/>
      <c r="Z1273" s="458"/>
      <c r="AA1273" s="458"/>
    </row>
    <row r="1274" spans="7:27" ht="14.25">
      <c r="G1274" s="388"/>
      <c r="H1274" s="389"/>
      <c r="I1274" s="388"/>
      <c r="J1274" s="391"/>
      <c r="K1274" s="392"/>
      <c r="L1274" s="392"/>
      <c r="M1274" s="392"/>
      <c r="N1274" s="388"/>
      <c r="O1274" s="388"/>
      <c r="P1274" s="392"/>
      <c r="Q1274" s="394"/>
      <c r="R1274" s="392"/>
      <c r="S1274" s="395"/>
      <c r="T1274" s="396"/>
      <c r="U1274" s="396"/>
      <c r="V1274" s="396"/>
      <c r="W1274" s="396"/>
      <c r="X1274" s="397"/>
      <c r="Y1274" s="339"/>
      <c r="Z1274" s="339"/>
      <c r="AA1274" s="339"/>
    </row>
    <row r="1275" spans="7:27" ht="14.25">
      <c r="G1275" s="387"/>
      <c r="H1275" s="549"/>
      <c r="I1275" s="387"/>
      <c r="J1275" s="550"/>
      <c r="K1275" s="551"/>
      <c r="L1275" s="551"/>
      <c r="M1275" s="551"/>
      <c r="N1275" s="387"/>
      <c r="O1275" s="387"/>
      <c r="P1275" s="551"/>
      <c r="Q1275" s="394"/>
      <c r="R1275" s="551"/>
      <c r="S1275" s="395"/>
      <c r="T1275" s="395"/>
      <c r="U1275" s="395"/>
      <c r="V1275" s="395"/>
      <c r="W1275" s="395"/>
      <c r="X1275" s="622"/>
      <c r="Y1275" s="458"/>
      <c r="Z1275" s="458"/>
      <c r="AA1275" s="458"/>
    </row>
    <row r="1276" spans="7:27" ht="14.25">
      <c r="G1276" s="388"/>
      <c r="H1276" s="389"/>
      <c r="I1276" s="388"/>
      <c r="J1276" s="391"/>
      <c r="K1276" s="392"/>
      <c r="L1276" s="392"/>
      <c r="M1276" s="392"/>
      <c r="N1276" s="388"/>
      <c r="O1276" s="388"/>
      <c r="P1276" s="392"/>
      <c r="Q1276" s="394"/>
      <c r="R1276" s="392"/>
      <c r="S1276" s="395"/>
      <c r="T1276" s="396"/>
      <c r="U1276" s="396"/>
      <c r="V1276" s="396"/>
      <c r="W1276" s="396"/>
      <c r="X1276" s="397"/>
      <c r="Y1276" s="339"/>
      <c r="Z1276" s="339"/>
      <c r="AA1276" s="339"/>
    </row>
    <row r="1277" spans="7:27" ht="14.25">
      <c r="G1277" s="387"/>
      <c r="H1277" s="549"/>
      <c r="I1277" s="387"/>
      <c r="J1277" s="550"/>
      <c r="K1277" s="551"/>
      <c r="L1277" s="551"/>
      <c r="M1277" s="551"/>
      <c r="N1277" s="387"/>
      <c r="O1277" s="387"/>
      <c r="P1277" s="551"/>
      <c r="Q1277" s="394"/>
      <c r="R1277" s="551"/>
      <c r="S1277" s="395"/>
      <c r="T1277" s="395"/>
      <c r="U1277" s="395"/>
      <c r="V1277" s="395"/>
      <c r="W1277" s="395"/>
      <c r="X1277" s="622"/>
      <c r="Y1277" s="458"/>
      <c r="Z1277" s="458"/>
      <c r="AA1277" s="458"/>
    </row>
    <row r="1278" spans="7:27" ht="14.25">
      <c r="G1278" s="388"/>
      <c r="H1278" s="389"/>
      <c r="I1278" s="388"/>
      <c r="J1278" s="391"/>
      <c r="K1278" s="392"/>
      <c r="L1278" s="392"/>
      <c r="M1278" s="392"/>
      <c r="N1278" s="388"/>
      <c r="O1278" s="388"/>
      <c r="P1278" s="392"/>
      <c r="Q1278" s="394"/>
      <c r="R1278" s="392"/>
      <c r="S1278" s="395"/>
      <c r="T1278" s="396"/>
      <c r="U1278" s="396"/>
      <c r="V1278" s="396"/>
      <c r="W1278" s="396"/>
      <c r="X1278" s="397"/>
      <c r="Y1278" s="339"/>
      <c r="Z1278" s="339"/>
      <c r="AA1278" s="339"/>
    </row>
    <row r="1279" spans="7:27" ht="14.25">
      <c r="G1279" s="387"/>
      <c r="H1279" s="549"/>
      <c r="I1279" s="387"/>
      <c r="J1279" s="550"/>
      <c r="K1279" s="551"/>
      <c r="L1279" s="551"/>
      <c r="M1279" s="551"/>
      <c r="N1279" s="387"/>
      <c r="O1279" s="387"/>
      <c r="P1279" s="551"/>
      <c r="Q1279" s="394"/>
      <c r="R1279" s="551"/>
      <c r="S1279" s="395"/>
      <c r="T1279" s="395"/>
      <c r="U1279" s="395"/>
      <c r="V1279" s="395"/>
      <c r="W1279" s="395"/>
      <c r="X1279" s="622"/>
      <c r="Y1279" s="458"/>
      <c r="Z1279" s="458"/>
      <c r="AA1279" s="458"/>
    </row>
    <row r="1280" spans="7:27" ht="14.25">
      <c r="G1280" s="388"/>
      <c r="H1280" s="389"/>
      <c r="I1280" s="388"/>
      <c r="J1280" s="391"/>
      <c r="K1280" s="392"/>
      <c r="L1280" s="392"/>
      <c r="M1280" s="392"/>
      <c r="N1280" s="388"/>
      <c r="O1280" s="388"/>
      <c r="P1280" s="392"/>
      <c r="Q1280" s="394"/>
      <c r="R1280" s="392"/>
      <c r="S1280" s="395"/>
      <c r="T1280" s="396"/>
      <c r="U1280" s="396"/>
      <c r="V1280" s="396"/>
      <c r="W1280" s="396"/>
      <c r="X1280" s="397"/>
      <c r="Y1280" s="339"/>
      <c r="Z1280" s="339"/>
      <c r="AA1280" s="339"/>
    </row>
    <row r="1281" spans="7:27" ht="14.25">
      <c r="G1281" s="387"/>
      <c r="H1281" s="549"/>
      <c r="I1281" s="387"/>
      <c r="J1281" s="550"/>
      <c r="K1281" s="551"/>
      <c r="L1281" s="551"/>
      <c r="M1281" s="551"/>
      <c r="N1281" s="387"/>
      <c r="O1281" s="387"/>
      <c r="P1281" s="551"/>
      <c r="Q1281" s="394"/>
      <c r="R1281" s="551"/>
      <c r="S1281" s="395"/>
      <c r="T1281" s="395"/>
      <c r="U1281" s="395"/>
      <c r="V1281" s="395"/>
      <c r="W1281" s="395"/>
      <c r="X1281" s="622"/>
      <c r="Y1281" s="458"/>
      <c r="Z1281" s="458"/>
      <c r="AA1281" s="458"/>
    </row>
    <row r="1282" spans="7:27" ht="14.25">
      <c r="G1282" s="388"/>
      <c r="H1282" s="389"/>
      <c r="I1282" s="388"/>
      <c r="J1282" s="391"/>
      <c r="K1282" s="392"/>
      <c r="L1282" s="392"/>
      <c r="M1282" s="392"/>
      <c r="N1282" s="388"/>
      <c r="O1282" s="388"/>
      <c r="P1282" s="392"/>
      <c r="Q1282" s="394"/>
      <c r="R1282" s="392"/>
      <c r="S1282" s="395"/>
      <c r="T1282" s="396"/>
      <c r="U1282" s="396"/>
      <c r="V1282" s="396"/>
      <c r="W1282" s="396"/>
      <c r="X1282" s="397"/>
      <c r="Y1282" s="339"/>
      <c r="Z1282" s="339"/>
      <c r="AA1282" s="339"/>
    </row>
    <row r="1283" spans="7:27" ht="14.25">
      <c r="G1283" s="387"/>
      <c r="H1283" s="549"/>
      <c r="I1283" s="387"/>
      <c r="J1283" s="550"/>
      <c r="K1283" s="551"/>
      <c r="L1283" s="551"/>
      <c r="M1283" s="551"/>
      <c r="N1283" s="387"/>
      <c r="O1283" s="387"/>
      <c r="P1283" s="551"/>
      <c r="Q1283" s="394"/>
      <c r="R1283" s="551"/>
      <c r="S1283" s="395"/>
      <c r="T1283" s="395"/>
      <c r="U1283" s="395"/>
      <c r="V1283" s="395"/>
      <c r="W1283" s="395"/>
      <c r="X1283" s="622"/>
      <c r="Y1283" s="458"/>
      <c r="Z1283" s="458"/>
      <c r="AA1283" s="458"/>
    </row>
    <row r="1284" spans="7:27" ht="14.25">
      <c r="G1284" s="388"/>
      <c r="H1284" s="389"/>
      <c r="I1284" s="388"/>
      <c r="J1284" s="391"/>
      <c r="K1284" s="392"/>
      <c r="L1284" s="392"/>
      <c r="M1284" s="392"/>
      <c r="N1284" s="388"/>
      <c r="O1284" s="388"/>
      <c r="P1284" s="392"/>
      <c r="Q1284" s="394"/>
      <c r="R1284" s="392"/>
      <c r="S1284" s="395"/>
      <c r="T1284" s="396"/>
      <c r="U1284" s="396"/>
      <c r="V1284" s="396"/>
      <c r="W1284" s="396"/>
      <c r="X1284" s="397"/>
      <c r="Y1284" s="339"/>
      <c r="Z1284" s="339"/>
      <c r="AA1284" s="339"/>
    </row>
    <row r="1285" spans="7:27" ht="14.25">
      <c r="G1285" s="387"/>
      <c r="H1285" s="549"/>
      <c r="I1285" s="387"/>
      <c r="J1285" s="550"/>
      <c r="K1285" s="551"/>
      <c r="L1285" s="551"/>
      <c r="M1285" s="551"/>
      <c r="N1285" s="387"/>
      <c r="O1285" s="387"/>
      <c r="P1285" s="551"/>
      <c r="Q1285" s="394"/>
      <c r="R1285" s="551"/>
      <c r="S1285" s="395"/>
      <c r="T1285" s="395"/>
      <c r="U1285" s="395"/>
      <c r="V1285" s="395"/>
      <c r="W1285" s="395"/>
      <c r="X1285" s="622"/>
      <c r="Y1285" s="458"/>
      <c r="Z1285" s="458"/>
      <c r="AA1285" s="458"/>
    </row>
    <row r="1286" spans="7:27" ht="14.25">
      <c r="G1286" s="388"/>
      <c r="H1286" s="389"/>
      <c r="I1286" s="388"/>
      <c r="J1286" s="391"/>
      <c r="K1286" s="392"/>
      <c r="L1286" s="392"/>
      <c r="M1286" s="392"/>
      <c r="N1286" s="388"/>
      <c r="O1286" s="388"/>
      <c r="P1286" s="392"/>
      <c r="Q1286" s="394"/>
      <c r="R1286" s="392"/>
      <c r="S1286" s="395"/>
      <c r="T1286" s="396"/>
      <c r="U1286" s="396"/>
      <c r="V1286" s="396"/>
      <c r="W1286" s="396"/>
      <c r="X1286" s="397"/>
      <c r="Y1286" s="339"/>
      <c r="Z1286" s="339"/>
      <c r="AA1286" s="339"/>
    </row>
    <row r="1287" spans="7:27" ht="14.25">
      <c r="G1287" s="387"/>
      <c r="H1287" s="549"/>
      <c r="I1287" s="387"/>
      <c r="J1287" s="550"/>
      <c r="K1287" s="551"/>
      <c r="L1287" s="551"/>
      <c r="M1287" s="551"/>
      <c r="N1287" s="387"/>
      <c r="O1287" s="387"/>
      <c r="P1287" s="551"/>
      <c r="Q1287" s="394"/>
      <c r="R1287" s="551"/>
      <c r="S1287" s="395"/>
      <c r="T1287" s="395"/>
      <c r="U1287" s="395"/>
      <c r="V1287" s="395"/>
      <c r="W1287" s="395"/>
      <c r="X1287" s="622"/>
      <c r="Y1287" s="458"/>
      <c r="Z1287" s="458"/>
      <c r="AA1287" s="458"/>
    </row>
    <row r="1288" spans="7:27" ht="14.25">
      <c r="G1288" s="388"/>
      <c r="H1288" s="389"/>
      <c r="I1288" s="388"/>
      <c r="J1288" s="391"/>
      <c r="K1288" s="392"/>
      <c r="L1288" s="392"/>
      <c r="M1288" s="392"/>
      <c r="N1288" s="388"/>
      <c r="O1288" s="388"/>
      <c r="P1288" s="392"/>
      <c r="Q1288" s="394"/>
      <c r="R1288" s="392"/>
      <c r="S1288" s="395"/>
      <c r="T1288" s="396"/>
      <c r="U1288" s="396"/>
      <c r="V1288" s="396"/>
      <c r="W1288" s="396"/>
      <c r="X1288" s="397"/>
      <c r="Y1288" s="339"/>
      <c r="Z1288" s="339"/>
      <c r="AA1288" s="339"/>
    </row>
    <row r="1289" spans="7:27" ht="14.25">
      <c r="G1289" s="387"/>
      <c r="H1289" s="549"/>
      <c r="I1289" s="387"/>
      <c r="J1289" s="550"/>
      <c r="K1289" s="551"/>
      <c r="L1289" s="551"/>
      <c r="M1289" s="551"/>
      <c r="N1289" s="387"/>
      <c r="O1289" s="387"/>
      <c r="P1289" s="551"/>
      <c r="Q1289" s="394"/>
      <c r="R1289" s="551"/>
      <c r="S1289" s="395"/>
      <c r="T1289" s="395"/>
      <c r="U1289" s="395"/>
      <c r="V1289" s="395"/>
      <c r="W1289" s="395"/>
      <c r="X1289" s="622"/>
      <c r="Y1289" s="458"/>
      <c r="Z1289" s="458"/>
      <c r="AA1289" s="458"/>
    </row>
    <row r="1290" spans="7:27" ht="14.25">
      <c r="G1290" s="388"/>
      <c r="H1290" s="389"/>
      <c r="I1290" s="388"/>
      <c r="J1290" s="391"/>
      <c r="K1290" s="392"/>
      <c r="L1290" s="392"/>
      <c r="M1290" s="392"/>
      <c r="N1290" s="388"/>
      <c r="O1290" s="388"/>
      <c r="P1290" s="392"/>
      <c r="Q1290" s="394"/>
      <c r="R1290" s="392"/>
      <c r="S1290" s="395"/>
      <c r="T1290" s="396"/>
      <c r="U1290" s="396"/>
      <c r="V1290" s="396"/>
      <c r="W1290" s="396"/>
      <c r="X1290" s="397"/>
      <c r="Y1290" s="339"/>
      <c r="Z1290" s="339"/>
      <c r="AA1290" s="339"/>
    </row>
    <row r="1291" spans="7:27" ht="14.25">
      <c r="G1291" s="387"/>
      <c r="H1291" s="549"/>
      <c r="I1291" s="387"/>
      <c r="J1291" s="550"/>
      <c r="K1291" s="551"/>
      <c r="L1291" s="551"/>
      <c r="M1291" s="551"/>
      <c r="N1291" s="387"/>
      <c r="O1291" s="387"/>
      <c r="P1291" s="551"/>
      <c r="Q1291" s="394"/>
      <c r="R1291" s="551"/>
      <c r="S1291" s="395"/>
      <c r="T1291" s="395"/>
      <c r="U1291" s="395"/>
      <c r="V1291" s="395"/>
      <c r="W1291" s="395"/>
      <c r="X1291" s="622"/>
      <c r="Y1291" s="458"/>
      <c r="Z1291" s="458"/>
      <c r="AA1291" s="458"/>
    </row>
    <row r="1292" spans="7:27" ht="14.25">
      <c r="G1292" s="388"/>
      <c r="H1292" s="389"/>
      <c r="I1292" s="388"/>
      <c r="J1292" s="391"/>
      <c r="K1292" s="392"/>
      <c r="L1292" s="392"/>
      <c r="M1292" s="392"/>
      <c r="N1292" s="388"/>
      <c r="O1292" s="388"/>
      <c r="P1292" s="392"/>
      <c r="Q1292" s="394"/>
      <c r="R1292" s="392"/>
      <c r="S1292" s="395"/>
      <c r="T1292" s="396"/>
      <c r="U1292" s="396"/>
      <c r="V1292" s="396"/>
      <c r="W1292" s="396"/>
      <c r="X1292" s="397"/>
      <c r="Y1292" s="339"/>
      <c r="Z1292" s="339"/>
      <c r="AA1292" s="339"/>
    </row>
    <row r="1293" spans="7:27" ht="14.25">
      <c r="G1293" s="387"/>
      <c r="H1293" s="549"/>
      <c r="I1293" s="387"/>
      <c r="J1293" s="550"/>
      <c r="K1293" s="551"/>
      <c r="L1293" s="551"/>
      <c r="M1293" s="551"/>
      <c r="N1293" s="387"/>
      <c r="O1293" s="387"/>
      <c r="P1293" s="551"/>
      <c r="Q1293" s="394"/>
      <c r="R1293" s="551"/>
      <c r="S1293" s="395"/>
      <c r="T1293" s="395"/>
      <c r="U1293" s="395"/>
      <c r="V1293" s="395"/>
      <c r="W1293" s="395"/>
      <c r="X1293" s="622"/>
      <c r="Y1293" s="458"/>
      <c r="Z1293" s="458"/>
      <c r="AA1293" s="458"/>
    </row>
    <row r="1294" spans="7:27" ht="14.25">
      <c r="G1294" s="388"/>
      <c r="H1294" s="389"/>
      <c r="I1294" s="388"/>
      <c r="J1294" s="391"/>
      <c r="K1294" s="392"/>
      <c r="L1294" s="392"/>
      <c r="M1294" s="392"/>
      <c r="N1294" s="388"/>
      <c r="O1294" s="388"/>
      <c r="P1294" s="392"/>
      <c r="Q1294" s="394"/>
      <c r="R1294" s="392"/>
      <c r="S1294" s="395"/>
      <c r="T1294" s="396"/>
      <c r="U1294" s="396"/>
      <c r="V1294" s="396"/>
      <c r="W1294" s="396"/>
      <c r="X1294" s="397"/>
      <c r="Y1294" s="339"/>
      <c r="Z1294" s="339"/>
      <c r="AA1294" s="339"/>
    </row>
    <row r="1295" spans="7:27" ht="14.25">
      <c r="G1295" s="387"/>
      <c r="H1295" s="549"/>
      <c r="I1295" s="387"/>
      <c r="J1295" s="550"/>
      <c r="K1295" s="551"/>
      <c r="L1295" s="551"/>
      <c r="M1295" s="551"/>
      <c r="N1295" s="387"/>
      <c r="O1295" s="387"/>
      <c r="P1295" s="551"/>
      <c r="Q1295" s="394"/>
      <c r="R1295" s="551"/>
      <c r="S1295" s="395"/>
      <c r="T1295" s="395"/>
      <c r="U1295" s="395"/>
      <c r="V1295" s="395"/>
      <c r="W1295" s="395"/>
      <c r="X1295" s="622"/>
      <c r="Y1295" s="458"/>
      <c r="Z1295" s="458"/>
      <c r="AA1295" s="458"/>
    </row>
    <row r="1296" spans="7:27" ht="14.25">
      <c r="G1296" s="388"/>
      <c r="H1296" s="389"/>
      <c r="I1296" s="388"/>
      <c r="J1296" s="391"/>
      <c r="K1296" s="392"/>
      <c r="L1296" s="392"/>
      <c r="M1296" s="392"/>
      <c r="N1296" s="388"/>
      <c r="O1296" s="388"/>
      <c r="P1296" s="392"/>
      <c r="Q1296" s="394"/>
      <c r="R1296" s="392"/>
      <c r="S1296" s="395"/>
      <c r="T1296" s="396"/>
      <c r="U1296" s="396"/>
      <c r="V1296" s="396"/>
      <c r="W1296" s="396"/>
      <c r="X1296" s="397"/>
      <c r="Y1296" s="339"/>
      <c r="Z1296" s="339"/>
      <c r="AA1296" s="339"/>
    </row>
    <row r="1297" spans="7:27" ht="14.25">
      <c r="G1297" s="387"/>
      <c r="H1297" s="549"/>
      <c r="I1297" s="387"/>
      <c r="J1297" s="550"/>
      <c r="K1297" s="551"/>
      <c r="L1297" s="551"/>
      <c r="M1297" s="551"/>
      <c r="N1297" s="387"/>
      <c r="O1297" s="387"/>
      <c r="P1297" s="551"/>
      <c r="Q1297" s="394"/>
      <c r="R1297" s="551"/>
      <c r="S1297" s="395"/>
      <c r="T1297" s="395"/>
      <c r="U1297" s="395"/>
      <c r="V1297" s="395"/>
      <c r="W1297" s="395"/>
      <c r="X1297" s="622"/>
      <c r="Y1297" s="458"/>
      <c r="Z1297" s="458"/>
      <c r="AA1297" s="458"/>
    </row>
    <row r="1298" spans="7:27" ht="14.25">
      <c r="G1298" s="388"/>
      <c r="H1298" s="389"/>
      <c r="I1298" s="388"/>
      <c r="J1298" s="391"/>
      <c r="K1298" s="392"/>
      <c r="L1298" s="392"/>
      <c r="M1298" s="392"/>
      <c r="N1298" s="388"/>
      <c r="O1298" s="388"/>
      <c r="P1298" s="392"/>
      <c r="Q1298" s="394"/>
      <c r="R1298" s="392"/>
      <c r="S1298" s="395"/>
      <c r="T1298" s="396"/>
      <c r="U1298" s="396"/>
      <c r="V1298" s="396"/>
      <c r="W1298" s="396"/>
      <c r="X1298" s="397"/>
      <c r="Y1298" s="339"/>
      <c r="Z1298" s="339"/>
      <c r="AA1298" s="339"/>
    </row>
    <row r="1299" spans="7:27" ht="14.25">
      <c r="G1299" s="387"/>
      <c r="H1299" s="549"/>
      <c r="I1299" s="387"/>
      <c r="J1299" s="550"/>
      <c r="K1299" s="551"/>
      <c r="L1299" s="551"/>
      <c r="M1299" s="551"/>
      <c r="N1299" s="387"/>
      <c r="O1299" s="387"/>
      <c r="P1299" s="551"/>
      <c r="Q1299" s="394"/>
      <c r="R1299" s="551"/>
      <c r="S1299" s="395"/>
      <c r="T1299" s="395"/>
      <c r="U1299" s="395"/>
      <c r="V1299" s="395"/>
      <c r="W1299" s="395"/>
      <c r="X1299" s="622"/>
      <c r="Y1299" s="458"/>
      <c r="Z1299" s="458"/>
      <c r="AA1299" s="458"/>
    </row>
    <row r="1300" spans="7:27" ht="14.25">
      <c r="G1300" s="388"/>
      <c r="H1300" s="389"/>
      <c r="I1300" s="388"/>
      <c r="J1300" s="391"/>
      <c r="K1300" s="392"/>
      <c r="L1300" s="392"/>
      <c r="M1300" s="392"/>
      <c r="N1300" s="388"/>
      <c r="O1300" s="388"/>
      <c r="P1300" s="392"/>
      <c r="Q1300" s="394"/>
      <c r="R1300" s="392"/>
      <c r="S1300" s="395"/>
      <c r="T1300" s="396"/>
      <c r="U1300" s="396"/>
      <c r="V1300" s="396"/>
      <c r="W1300" s="396"/>
      <c r="X1300" s="397"/>
      <c r="Y1300" s="339"/>
      <c r="Z1300" s="339"/>
      <c r="AA1300" s="339"/>
    </row>
    <row r="1301" spans="7:27" ht="14.25">
      <c r="G1301" s="387"/>
      <c r="H1301" s="549"/>
      <c r="I1301" s="387"/>
      <c r="J1301" s="550"/>
      <c r="K1301" s="551"/>
      <c r="L1301" s="551"/>
      <c r="M1301" s="551"/>
      <c r="N1301" s="387"/>
      <c r="O1301" s="387"/>
      <c r="P1301" s="551"/>
      <c r="Q1301" s="394"/>
      <c r="R1301" s="551"/>
      <c r="S1301" s="395"/>
      <c r="T1301" s="395"/>
      <c r="U1301" s="395"/>
      <c r="V1301" s="395"/>
      <c r="W1301" s="395"/>
      <c r="X1301" s="622"/>
      <c r="Y1301" s="458"/>
      <c r="Z1301" s="458"/>
      <c r="AA1301" s="458"/>
    </row>
    <row r="1302" spans="7:27" ht="14.25">
      <c r="G1302" s="388"/>
      <c r="H1302" s="389"/>
      <c r="I1302" s="388"/>
      <c r="J1302" s="391"/>
      <c r="K1302" s="392"/>
      <c r="L1302" s="392"/>
      <c r="M1302" s="392"/>
      <c r="N1302" s="388"/>
      <c r="O1302" s="388"/>
      <c r="P1302" s="392"/>
      <c r="Q1302" s="394"/>
      <c r="R1302" s="392"/>
      <c r="S1302" s="395"/>
      <c r="T1302" s="396"/>
      <c r="U1302" s="396"/>
      <c r="V1302" s="396"/>
      <c r="W1302" s="396"/>
      <c r="X1302" s="397"/>
      <c r="Y1302" s="339"/>
      <c r="Z1302" s="339"/>
      <c r="AA1302" s="339"/>
    </row>
    <row r="1303" spans="7:27" ht="14.25">
      <c r="G1303" s="387"/>
      <c r="H1303" s="549"/>
      <c r="I1303" s="387"/>
      <c r="J1303" s="550"/>
      <c r="K1303" s="551"/>
      <c r="L1303" s="551"/>
      <c r="M1303" s="551"/>
      <c r="N1303" s="387"/>
      <c r="O1303" s="387"/>
      <c r="P1303" s="551"/>
      <c r="Q1303" s="394"/>
      <c r="R1303" s="551"/>
      <c r="S1303" s="395"/>
      <c r="T1303" s="395"/>
      <c r="U1303" s="395"/>
      <c r="V1303" s="395"/>
      <c r="W1303" s="395"/>
      <c r="X1303" s="622"/>
      <c r="Y1303" s="458"/>
      <c r="Z1303" s="458"/>
      <c r="AA1303" s="458"/>
    </row>
    <row r="1304" spans="7:27" ht="14.25">
      <c r="G1304" s="388"/>
      <c r="H1304" s="389"/>
      <c r="I1304" s="388"/>
      <c r="J1304" s="391"/>
      <c r="K1304" s="392"/>
      <c r="L1304" s="392"/>
      <c r="M1304" s="392"/>
      <c r="N1304" s="388"/>
      <c r="O1304" s="388"/>
      <c r="P1304" s="392"/>
      <c r="Q1304" s="394"/>
      <c r="R1304" s="392"/>
      <c r="S1304" s="395"/>
      <c r="T1304" s="396"/>
      <c r="U1304" s="396"/>
      <c r="V1304" s="396"/>
      <c r="W1304" s="396"/>
      <c r="X1304" s="397"/>
      <c r="Y1304" s="339"/>
      <c r="Z1304" s="339"/>
      <c r="AA1304" s="339"/>
    </row>
    <row r="1305" spans="7:27" ht="14.25">
      <c r="G1305" s="387"/>
      <c r="H1305" s="549"/>
      <c r="I1305" s="387"/>
      <c r="J1305" s="550"/>
      <c r="K1305" s="551"/>
      <c r="L1305" s="551"/>
      <c r="M1305" s="551"/>
      <c r="N1305" s="387"/>
      <c r="O1305" s="387"/>
      <c r="P1305" s="551"/>
      <c r="Q1305" s="394"/>
      <c r="R1305" s="551"/>
      <c r="S1305" s="395"/>
      <c r="T1305" s="395"/>
      <c r="U1305" s="395"/>
      <c r="V1305" s="395"/>
      <c r="W1305" s="395"/>
      <c r="X1305" s="622"/>
      <c r="Y1305" s="458"/>
      <c r="Z1305" s="458"/>
      <c r="AA1305" s="458"/>
    </row>
    <row r="1306" spans="7:27" ht="14.25">
      <c r="G1306" s="388"/>
      <c r="H1306" s="389"/>
      <c r="I1306" s="388"/>
      <c r="J1306" s="391"/>
      <c r="K1306" s="392"/>
      <c r="L1306" s="392"/>
      <c r="M1306" s="392"/>
      <c r="N1306" s="388"/>
      <c r="O1306" s="388"/>
      <c r="P1306" s="392"/>
      <c r="Q1306" s="394"/>
      <c r="R1306" s="392"/>
      <c r="S1306" s="395"/>
      <c r="T1306" s="396"/>
      <c r="U1306" s="396"/>
      <c r="V1306" s="396"/>
      <c r="W1306" s="396"/>
      <c r="X1306" s="397"/>
      <c r="Y1306" s="339"/>
      <c r="Z1306" s="339"/>
      <c r="AA1306" s="339"/>
    </row>
    <row r="1307" spans="7:27" ht="14.25">
      <c r="G1307" s="387"/>
      <c r="H1307" s="549"/>
      <c r="I1307" s="387"/>
      <c r="J1307" s="550"/>
      <c r="K1307" s="551"/>
      <c r="L1307" s="551"/>
      <c r="M1307" s="551"/>
      <c r="N1307" s="387"/>
      <c r="O1307" s="387"/>
      <c r="P1307" s="551"/>
      <c r="Q1307" s="394"/>
      <c r="R1307" s="551"/>
      <c r="S1307" s="395"/>
      <c r="T1307" s="395"/>
      <c r="U1307" s="395"/>
      <c r="V1307" s="395"/>
      <c r="W1307" s="395"/>
      <c r="X1307" s="622"/>
      <c r="Y1307" s="458"/>
      <c r="Z1307" s="458"/>
      <c r="AA1307" s="458"/>
    </row>
    <row r="1308" spans="7:27" ht="14.25">
      <c r="G1308" s="388"/>
      <c r="H1308" s="389"/>
      <c r="I1308" s="388"/>
      <c r="J1308" s="391"/>
      <c r="K1308" s="392"/>
      <c r="L1308" s="392"/>
      <c r="M1308" s="392"/>
      <c r="N1308" s="388"/>
      <c r="O1308" s="388"/>
      <c r="P1308" s="392"/>
      <c r="Q1308" s="394"/>
      <c r="R1308" s="392"/>
      <c r="S1308" s="395"/>
      <c r="T1308" s="396"/>
      <c r="U1308" s="396"/>
      <c r="V1308" s="396"/>
      <c r="W1308" s="396"/>
      <c r="X1308" s="397"/>
      <c r="Y1308" s="339"/>
      <c r="Z1308" s="339"/>
      <c r="AA1308" s="339"/>
    </row>
    <row r="1309" spans="7:27" ht="14.25">
      <c r="G1309" s="387"/>
      <c r="H1309" s="549"/>
      <c r="I1309" s="387"/>
      <c r="J1309" s="550"/>
      <c r="K1309" s="551"/>
      <c r="L1309" s="551"/>
      <c r="M1309" s="551"/>
      <c r="N1309" s="387"/>
      <c r="O1309" s="387"/>
      <c r="P1309" s="551"/>
      <c r="Q1309" s="394"/>
      <c r="R1309" s="551"/>
      <c r="S1309" s="395"/>
      <c r="T1309" s="395"/>
      <c r="U1309" s="395"/>
      <c r="V1309" s="395"/>
      <c r="W1309" s="395"/>
      <c r="X1309" s="622"/>
      <c r="Y1309" s="458"/>
      <c r="Z1309" s="458"/>
      <c r="AA1309" s="458"/>
    </row>
    <row r="1310" spans="7:27" ht="14.25">
      <c r="G1310" s="388"/>
      <c r="H1310" s="389"/>
      <c r="I1310" s="388"/>
      <c r="J1310" s="391"/>
      <c r="K1310" s="392"/>
      <c r="L1310" s="392"/>
      <c r="M1310" s="392"/>
      <c r="N1310" s="388"/>
      <c r="O1310" s="388"/>
      <c r="P1310" s="392"/>
      <c r="Q1310" s="394"/>
      <c r="R1310" s="392"/>
      <c r="S1310" s="395"/>
      <c r="T1310" s="396"/>
      <c r="U1310" s="396"/>
      <c r="V1310" s="396"/>
      <c r="W1310" s="396"/>
      <c r="X1310" s="397"/>
      <c r="Y1310" s="339"/>
      <c r="Z1310" s="339"/>
      <c r="AA1310" s="339"/>
    </row>
    <row r="1311" spans="7:27" ht="14.25">
      <c r="G1311" s="387"/>
      <c r="H1311" s="549"/>
      <c r="I1311" s="387"/>
      <c r="J1311" s="550"/>
      <c r="K1311" s="551"/>
      <c r="L1311" s="551"/>
      <c r="M1311" s="551"/>
      <c r="N1311" s="387"/>
      <c r="O1311" s="387"/>
      <c r="P1311" s="551"/>
      <c r="Q1311" s="394"/>
      <c r="R1311" s="551"/>
      <c r="S1311" s="395"/>
      <c r="T1311" s="395"/>
      <c r="U1311" s="395"/>
      <c r="V1311" s="395"/>
      <c r="W1311" s="395"/>
      <c r="X1311" s="622"/>
      <c r="Y1311" s="458"/>
      <c r="Z1311" s="458"/>
      <c r="AA1311" s="458"/>
    </row>
    <row r="1312" spans="7:27" ht="14.25">
      <c r="G1312" s="388"/>
      <c r="H1312" s="389"/>
      <c r="I1312" s="388"/>
      <c r="J1312" s="391"/>
      <c r="K1312" s="392"/>
      <c r="L1312" s="392"/>
      <c r="M1312" s="392"/>
      <c r="N1312" s="388"/>
      <c r="O1312" s="388"/>
      <c r="P1312" s="392"/>
      <c r="Q1312" s="394"/>
      <c r="R1312" s="392"/>
      <c r="S1312" s="395"/>
      <c r="T1312" s="396"/>
      <c r="U1312" s="396"/>
      <c r="V1312" s="396"/>
      <c r="W1312" s="396"/>
      <c r="X1312" s="397"/>
      <c r="Y1312" s="339"/>
      <c r="Z1312" s="339"/>
      <c r="AA1312" s="339"/>
    </row>
    <row r="1313" spans="7:27" ht="14.25">
      <c r="G1313" s="387"/>
      <c r="H1313" s="549"/>
      <c r="I1313" s="387"/>
      <c r="J1313" s="550"/>
      <c r="K1313" s="551"/>
      <c r="L1313" s="551"/>
      <c r="M1313" s="551"/>
      <c r="N1313" s="387"/>
      <c r="O1313" s="387"/>
      <c r="P1313" s="551"/>
      <c r="Q1313" s="394"/>
      <c r="R1313" s="551"/>
      <c r="S1313" s="395"/>
      <c r="T1313" s="395"/>
      <c r="U1313" s="395"/>
      <c r="V1313" s="395"/>
      <c r="W1313" s="395"/>
      <c r="X1313" s="622"/>
      <c r="Y1313" s="458"/>
      <c r="Z1313" s="458"/>
      <c r="AA1313" s="458"/>
    </row>
    <row r="1314" spans="7:27" ht="14.25">
      <c r="G1314" s="388"/>
      <c r="H1314" s="389"/>
      <c r="I1314" s="388"/>
      <c r="J1314" s="391"/>
      <c r="K1314" s="392"/>
      <c r="L1314" s="392"/>
      <c r="M1314" s="392"/>
      <c r="N1314" s="388"/>
      <c r="O1314" s="388"/>
      <c r="P1314" s="392"/>
      <c r="Q1314" s="394"/>
      <c r="R1314" s="392"/>
      <c r="S1314" s="395"/>
      <c r="T1314" s="396"/>
      <c r="U1314" s="396"/>
      <c r="V1314" s="396"/>
      <c r="W1314" s="396"/>
      <c r="X1314" s="397"/>
      <c r="Y1314" s="339"/>
      <c r="Z1314" s="339"/>
      <c r="AA1314" s="339"/>
    </row>
    <row r="1315" spans="7:27" ht="14.25">
      <c r="G1315" s="387"/>
      <c r="H1315" s="549"/>
      <c r="I1315" s="387"/>
      <c r="J1315" s="550"/>
      <c r="K1315" s="551"/>
      <c r="L1315" s="551"/>
      <c r="M1315" s="551"/>
      <c r="N1315" s="387"/>
      <c r="O1315" s="387"/>
      <c r="P1315" s="551"/>
      <c r="Q1315" s="394"/>
      <c r="R1315" s="551"/>
      <c r="S1315" s="395"/>
      <c r="T1315" s="395"/>
      <c r="U1315" s="395"/>
      <c r="V1315" s="395"/>
      <c r="W1315" s="395"/>
      <c r="X1315" s="622"/>
      <c r="Y1315" s="458"/>
      <c r="Z1315" s="458"/>
      <c r="AA1315" s="458"/>
    </row>
    <row r="1316" spans="7:27" ht="14.25">
      <c r="G1316" s="388"/>
      <c r="H1316" s="389"/>
      <c r="I1316" s="388"/>
      <c r="J1316" s="391"/>
      <c r="K1316" s="392"/>
      <c r="L1316" s="392"/>
      <c r="M1316" s="392"/>
      <c r="N1316" s="388"/>
      <c r="O1316" s="388"/>
      <c r="P1316" s="392"/>
      <c r="Q1316" s="394"/>
      <c r="R1316" s="392"/>
      <c r="S1316" s="395"/>
      <c r="T1316" s="396"/>
      <c r="U1316" s="396"/>
      <c r="V1316" s="396"/>
      <c r="W1316" s="396"/>
      <c r="X1316" s="397"/>
      <c r="Y1316" s="339"/>
      <c r="Z1316" s="339"/>
      <c r="AA1316" s="339"/>
    </row>
    <row r="1317" spans="7:27" ht="14.25">
      <c r="G1317" s="387"/>
      <c r="H1317" s="549"/>
      <c r="I1317" s="387"/>
      <c r="J1317" s="550"/>
      <c r="K1317" s="551"/>
      <c r="L1317" s="551"/>
      <c r="M1317" s="551"/>
      <c r="N1317" s="387"/>
      <c r="O1317" s="387"/>
      <c r="P1317" s="551"/>
      <c r="Q1317" s="394"/>
      <c r="R1317" s="551"/>
      <c r="S1317" s="395"/>
      <c r="T1317" s="395"/>
      <c r="U1317" s="395"/>
      <c r="V1317" s="395"/>
      <c r="W1317" s="395"/>
      <c r="X1317" s="622"/>
      <c r="Y1317" s="458"/>
      <c r="Z1317" s="458"/>
      <c r="AA1317" s="458"/>
    </row>
    <row r="1318" spans="7:27" ht="14.25">
      <c r="G1318" s="388"/>
      <c r="H1318" s="389"/>
      <c r="I1318" s="388"/>
      <c r="J1318" s="391"/>
      <c r="K1318" s="392"/>
      <c r="L1318" s="392"/>
      <c r="M1318" s="392"/>
      <c r="N1318" s="388"/>
      <c r="O1318" s="388"/>
      <c r="P1318" s="392"/>
      <c r="Q1318" s="394"/>
      <c r="R1318" s="392"/>
      <c r="S1318" s="395"/>
      <c r="T1318" s="396"/>
      <c r="U1318" s="396"/>
      <c r="V1318" s="396"/>
      <c r="W1318" s="396"/>
      <c r="X1318" s="397"/>
      <c r="Y1318" s="339"/>
      <c r="Z1318" s="339"/>
      <c r="AA1318" s="339"/>
    </row>
    <row r="1319" spans="7:27" ht="14.25">
      <c r="G1319" s="387"/>
      <c r="H1319" s="549"/>
      <c r="I1319" s="387"/>
      <c r="J1319" s="550"/>
      <c r="K1319" s="551"/>
      <c r="L1319" s="551"/>
      <c r="M1319" s="551"/>
      <c r="N1319" s="387"/>
      <c r="O1319" s="387"/>
      <c r="P1319" s="551"/>
      <c r="Q1319" s="394"/>
      <c r="R1319" s="551"/>
      <c r="S1319" s="395"/>
      <c r="T1319" s="395"/>
      <c r="U1319" s="395"/>
      <c r="V1319" s="395"/>
      <c r="W1319" s="395"/>
      <c r="X1319" s="622"/>
      <c r="Y1319" s="458"/>
      <c r="Z1319" s="458"/>
      <c r="AA1319" s="458"/>
    </row>
    <row r="1320" spans="7:27" ht="14.25">
      <c r="G1320" s="388"/>
      <c r="H1320" s="389"/>
      <c r="I1320" s="388"/>
      <c r="J1320" s="391"/>
      <c r="K1320" s="392"/>
      <c r="L1320" s="392"/>
      <c r="M1320" s="392"/>
      <c r="N1320" s="388"/>
      <c r="O1320" s="388"/>
      <c r="P1320" s="392"/>
      <c r="Q1320" s="394"/>
      <c r="R1320" s="392"/>
      <c r="S1320" s="395"/>
      <c r="T1320" s="396"/>
      <c r="U1320" s="396"/>
      <c r="V1320" s="396"/>
      <c r="W1320" s="396"/>
      <c r="X1320" s="397"/>
      <c r="Y1320" s="339"/>
      <c r="Z1320" s="339"/>
      <c r="AA1320" s="339"/>
    </row>
    <row r="1321" spans="7:27" ht="14.25">
      <c r="G1321" s="387"/>
      <c r="H1321" s="549"/>
      <c r="I1321" s="387"/>
      <c r="J1321" s="550"/>
      <c r="K1321" s="551"/>
      <c r="L1321" s="551"/>
      <c r="M1321" s="551"/>
      <c r="N1321" s="387"/>
      <c r="O1321" s="387"/>
      <c r="P1321" s="551"/>
      <c r="Q1321" s="394"/>
      <c r="R1321" s="551"/>
      <c r="S1321" s="395"/>
      <c r="T1321" s="395"/>
      <c r="U1321" s="395"/>
      <c r="V1321" s="395"/>
      <c r="W1321" s="395"/>
      <c r="X1321" s="622"/>
      <c r="Y1321" s="458"/>
      <c r="Z1321" s="458"/>
      <c r="AA1321" s="458"/>
    </row>
    <row r="1322" spans="7:27" ht="14.25">
      <c r="G1322" s="388"/>
      <c r="H1322" s="389"/>
      <c r="I1322" s="388"/>
      <c r="J1322" s="391"/>
      <c r="K1322" s="392"/>
      <c r="L1322" s="392"/>
      <c r="M1322" s="392"/>
      <c r="N1322" s="388"/>
      <c r="O1322" s="388"/>
      <c r="P1322" s="392"/>
      <c r="Q1322" s="394"/>
      <c r="R1322" s="392"/>
      <c r="S1322" s="395"/>
      <c r="T1322" s="396"/>
      <c r="U1322" s="396"/>
      <c r="V1322" s="396"/>
      <c r="W1322" s="396"/>
      <c r="X1322" s="397"/>
      <c r="Y1322" s="339"/>
      <c r="Z1322" s="339"/>
      <c r="AA1322" s="339"/>
    </row>
    <row r="1323" spans="7:27" ht="14.25">
      <c r="G1323" s="387"/>
      <c r="H1323" s="549"/>
      <c r="I1323" s="387"/>
      <c r="J1323" s="550"/>
      <c r="K1323" s="551"/>
      <c r="L1323" s="551"/>
      <c r="M1323" s="551"/>
      <c r="N1323" s="387"/>
      <c r="O1323" s="387"/>
      <c r="P1323" s="551"/>
      <c r="Q1323" s="394"/>
      <c r="R1323" s="551"/>
      <c r="S1323" s="395"/>
      <c r="T1323" s="395"/>
      <c r="U1323" s="395"/>
      <c r="V1323" s="395"/>
      <c r="W1323" s="395"/>
      <c r="X1323" s="622"/>
      <c r="Y1323" s="458"/>
      <c r="Z1323" s="458"/>
      <c r="AA1323" s="458"/>
    </row>
    <row r="1324" spans="7:27" ht="14.25">
      <c r="G1324" s="388"/>
      <c r="H1324" s="389"/>
      <c r="I1324" s="388"/>
      <c r="J1324" s="391"/>
      <c r="K1324" s="392"/>
      <c r="L1324" s="392"/>
      <c r="M1324" s="392"/>
      <c r="N1324" s="388"/>
      <c r="O1324" s="388"/>
      <c r="P1324" s="392"/>
      <c r="Q1324" s="394"/>
      <c r="R1324" s="392"/>
      <c r="S1324" s="395"/>
      <c r="T1324" s="396"/>
      <c r="U1324" s="396"/>
      <c r="V1324" s="396"/>
      <c r="W1324" s="396"/>
      <c r="X1324" s="397"/>
      <c r="Y1324" s="339"/>
      <c r="Z1324" s="339"/>
      <c r="AA1324" s="339"/>
    </row>
    <row r="1325" spans="7:27" ht="14.25">
      <c r="G1325" s="387"/>
      <c r="H1325" s="549"/>
      <c r="I1325" s="387"/>
      <c r="J1325" s="550"/>
      <c r="K1325" s="551"/>
      <c r="L1325" s="551"/>
      <c r="M1325" s="551"/>
      <c r="N1325" s="387"/>
      <c r="O1325" s="387"/>
      <c r="P1325" s="551"/>
      <c r="Q1325" s="394"/>
      <c r="R1325" s="551"/>
      <c r="S1325" s="395"/>
      <c r="T1325" s="395"/>
      <c r="U1325" s="395"/>
      <c r="V1325" s="395"/>
      <c r="W1325" s="395"/>
      <c r="X1325" s="622"/>
      <c r="Y1325" s="458"/>
      <c r="Z1325" s="458"/>
      <c r="AA1325" s="458"/>
    </row>
    <row r="1326" spans="7:27" ht="14.25">
      <c r="G1326" s="388"/>
      <c r="H1326" s="389"/>
      <c r="I1326" s="388"/>
      <c r="J1326" s="391"/>
      <c r="K1326" s="392"/>
      <c r="L1326" s="392"/>
      <c r="M1326" s="392"/>
      <c r="N1326" s="388"/>
      <c r="O1326" s="388"/>
      <c r="P1326" s="392"/>
      <c r="Q1326" s="394"/>
      <c r="R1326" s="392"/>
      <c r="S1326" s="395"/>
      <c r="T1326" s="396"/>
      <c r="U1326" s="396"/>
      <c r="V1326" s="396"/>
      <c r="W1326" s="396"/>
      <c r="X1326" s="397"/>
      <c r="Y1326" s="339"/>
      <c r="Z1326" s="339"/>
      <c r="AA1326" s="339"/>
    </row>
    <row r="1327" spans="7:27" ht="14.25">
      <c r="G1327" s="387"/>
      <c r="H1327" s="549"/>
      <c r="I1327" s="387"/>
      <c r="J1327" s="550"/>
      <c r="K1327" s="551"/>
      <c r="L1327" s="551"/>
      <c r="M1327" s="551"/>
      <c r="N1327" s="387"/>
      <c r="O1327" s="387"/>
      <c r="P1327" s="551"/>
      <c r="Q1327" s="394"/>
      <c r="R1327" s="551"/>
      <c r="S1327" s="395"/>
      <c r="T1327" s="395"/>
      <c r="U1327" s="395"/>
      <c r="V1327" s="395"/>
      <c r="W1327" s="395"/>
      <c r="X1327" s="622"/>
      <c r="Y1327" s="458"/>
      <c r="Z1327" s="458"/>
      <c r="AA1327" s="458"/>
    </row>
    <row r="1328" spans="7:27" ht="14.25">
      <c r="G1328" s="388"/>
      <c r="H1328" s="389"/>
      <c r="I1328" s="388"/>
      <c r="J1328" s="391"/>
      <c r="K1328" s="392"/>
      <c r="L1328" s="392"/>
      <c r="M1328" s="392"/>
      <c r="N1328" s="388"/>
      <c r="O1328" s="388"/>
      <c r="P1328" s="392"/>
      <c r="Q1328" s="394"/>
      <c r="R1328" s="392"/>
      <c r="S1328" s="395"/>
      <c r="T1328" s="396"/>
      <c r="U1328" s="396"/>
      <c r="V1328" s="396"/>
      <c r="W1328" s="396"/>
      <c r="X1328" s="397"/>
      <c r="Y1328" s="339"/>
      <c r="Z1328" s="339"/>
      <c r="AA1328" s="339"/>
    </row>
    <row r="1329" spans="7:27" ht="14.25">
      <c r="G1329" s="387"/>
      <c r="H1329" s="549"/>
      <c r="I1329" s="387"/>
      <c r="J1329" s="550"/>
      <c r="K1329" s="551"/>
      <c r="L1329" s="551"/>
      <c r="M1329" s="551"/>
      <c r="N1329" s="387"/>
      <c r="O1329" s="387"/>
      <c r="P1329" s="551"/>
      <c r="Q1329" s="394"/>
      <c r="R1329" s="551"/>
      <c r="S1329" s="395"/>
      <c r="T1329" s="395"/>
      <c r="U1329" s="395"/>
      <c r="V1329" s="395"/>
      <c r="W1329" s="395"/>
      <c r="X1329" s="622"/>
      <c r="Y1329" s="458"/>
      <c r="Z1329" s="458"/>
      <c r="AA1329" s="458"/>
    </row>
    <row r="1330" spans="7:27" ht="14.25">
      <c r="G1330" s="388"/>
      <c r="H1330" s="389"/>
      <c r="I1330" s="388"/>
      <c r="J1330" s="391"/>
      <c r="K1330" s="392"/>
      <c r="L1330" s="392"/>
      <c r="M1330" s="392"/>
      <c r="N1330" s="388"/>
      <c r="O1330" s="388"/>
      <c r="P1330" s="392"/>
      <c r="Q1330" s="394"/>
      <c r="R1330" s="392"/>
      <c r="S1330" s="395"/>
      <c r="T1330" s="396"/>
      <c r="U1330" s="396"/>
      <c r="V1330" s="396"/>
      <c r="W1330" s="396"/>
      <c r="X1330" s="397"/>
      <c r="Y1330" s="339"/>
      <c r="Z1330" s="339"/>
      <c r="AA1330" s="339"/>
    </row>
    <row r="1331" spans="7:27" ht="14.25">
      <c r="G1331" s="387"/>
      <c r="H1331" s="549"/>
      <c r="I1331" s="387"/>
      <c r="J1331" s="550"/>
      <c r="K1331" s="551"/>
      <c r="L1331" s="551"/>
      <c r="M1331" s="551"/>
      <c r="N1331" s="387"/>
      <c r="O1331" s="387"/>
      <c r="P1331" s="551"/>
      <c r="Q1331" s="394"/>
      <c r="R1331" s="551"/>
      <c r="S1331" s="395"/>
      <c r="T1331" s="395"/>
      <c r="U1331" s="395"/>
      <c r="V1331" s="395"/>
      <c r="W1331" s="395"/>
      <c r="X1331" s="622"/>
      <c r="Y1331" s="458"/>
      <c r="Z1331" s="458"/>
      <c r="AA1331" s="458"/>
    </row>
    <row r="1332" spans="7:27" ht="14.25">
      <c r="G1332" s="388"/>
      <c r="H1332" s="389"/>
      <c r="I1332" s="388"/>
      <c r="J1332" s="391"/>
      <c r="K1332" s="392"/>
      <c r="L1332" s="392"/>
      <c r="M1332" s="392"/>
      <c r="N1332" s="388"/>
      <c r="O1332" s="388"/>
      <c r="P1332" s="392"/>
      <c r="Q1332" s="394"/>
      <c r="R1332" s="392"/>
      <c r="S1332" s="395"/>
      <c r="T1332" s="396"/>
      <c r="U1332" s="396"/>
      <c r="V1332" s="396"/>
      <c r="W1332" s="396"/>
      <c r="X1332" s="397"/>
      <c r="Y1332" s="339"/>
      <c r="Z1332" s="339"/>
      <c r="AA1332" s="339"/>
    </row>
    <row r="1333" spans="7:27" ht="14.25">
      <c r="G1333" s="387"/>
      <c r="H1333" s="549"/>
      <c r="I1333" s="387"/>
      <c r="J1333" s="550"/>
      <c r="K1333" s="551"/>
      <c r="L1333" s="551"/>
      <c r="M1333" s="551"/>
      <c r="N1333" s="387"/>
      <c r="O1333" s="387"/>
      <c r="P1333" s="551"/>
      <c r="Q1333" s="394"/>
      <c r="R1333" s="551"/>
      <c r="S1333" s="395"/>
      <c r="T1333" s="395"/>
      <c r="U1333" s="395"/>
      <c r="V1333" s="395"/>
      <c r="W1333" s="395"/>
      <c r="X1333" s="622"/>
      <c r="Y1333" s="458"/>
      <c r="Z1333" s="458"/>
      <c r="AA1333" s="458"/>
    </row>
    <row r="1334" spans="7:27" ht="14.25">
      <c r="G1334" s="388"/>
      <c r="H1334" s="389"/>
      <c r="I1334" s="388"/>
      <c r="J1334" s="391"/>
      <c r="K1334" s="392"/>
      <c r="L1334" s="392"/>
      <c r="M1334" s="392"/>
      <c r="N1334" s="388"/>
      <c r="O1334" s="388"/>
      <c r="P1334" s="392"/>
      <c r="Q1334" s="394"/>
      <c r="R1334" s="392"/>
      <c r="S1334" s="395"/>
      <c r="T1334" s="396"/>
      <c r="U1334" s="396"/>
      <c r="V1334" s="396"/>
      <c r="W1334" s="396"/>
      <c r="X1334" s="397"/>
      <c r="Y1334" s="339"/>
      <c r="Z1334" s="339"/>
      <c r="AA1334" s="339"/>
    </row>
    <row r="1335" spans="7:27" ht="14.25">
      <c r="G1335" s="387"/>
      <c r="H1335" s="549"/>
      <c r="I1335" s="387"/>
      <c r="J1335" s="550"/>
      <c r="K1335" s="551"/>
      <c r="L1335" s="551"/>
      <c r="M1335" s="551"/>
      <c r="N1335" s="387"/>
      <c r="O1335" s="387"/>
      <c r="P1335" s="551"/>
      <c r="Q1335" s="394"/>
      <c r="R1335" s="551"/>
      <c r="S1335" s="395"/>
      <c r="T1335" s="395"/>
      <c r="U1335" s="395"/>
      <c r="V1335" s="395"/>
      <c r="W1335" s="395"/>
      <c r="X1335" s="622"/>
      <c r="Y1335" s="458"/>
      <c r="Z1335" s="458"/>
      <c r="AA1335" s="458"/>
    </row>
    <row r="1336" spans="7:27" ht="14.25">
      <c r="G1336" s="388"/>
      <c r="H1336" s="389"/>
      <c r="I1336" s="388"/>
      <c r="J1336" s="391"/>
      <c r="K1336" s="392"/>
      <c r="L1336" s="392"/>
      <c r="M1336" s="392"/>
      <c r="N1336" s="388"/>
      <c r="O1336" s="388"/>
      <c r="P1336" s="392"/>
      <c r="Q1336" s="394"/>
      <c r="R1336" s="392"/>
      <c r="S1336" s="395"/>
      <c r="T1336" s="396"/>
      <c r="U1336" s="396"/>
      <c r="V1336" s="396"/>
      <c r="W1336" s="396"/>
      <c r="X1336" s="397"/>
      <c r="Y1336" s="339"/>
      <c r="Z1336" s="339"/>
      <c r="AA1336" s="339"/>
    </row>
    <row r="1337" spans="7:27" ht="14.25">
      <c r="G1337" s="387"/>
      <c r="H1337" s="549"/>
      <c r="I1337" s="387"/>
      <c r="J1337" s="550"/>
      <c r="K1337" s="551"/>
      <c r="L1337" s="551"/>
      <c r="M1337" s="551"/>
      <c r="N1337" s="387"/>
      <c r="O1337" s="387"/>
      <c r="P1337" s="551"/>
      <c r="Q1337" s="394"/>
      <c r="R1337" s="551"/>
      <c r="S1337" s="395"/>
      <c r="T1337" s="395"/>
      <c r="U1337" s="395"/>
      <c r="V1337" s="395"/>
      <c r="W1337" s="395"/>
      <c r="X1337" s="622"/>
      <c r="Y1337" s="458"/>
      <c r="Z1337" s="458"/>
      <c r="AA1337" s="458"/>
    </row>
    <row r="1338" spans="7:27" ht="14.25">
      <c r="G1338" s="388"/>
      <c r="H1338" s="389"/>
      <c r="I1338" s="388"/>
      <c r="J1338" s="391"/>
      <c r="K1338" s="392"/>
      <c r="L1338" s="392"/>
      <c r="M1338" s="392"/>
      <c r="N1338" s="388"/>
      <c r="O1338" s="388"/>
      <c r="P1338" s="392"/>
      <c r="Q1338" s="394"/>
      <c r="R1338" s="392"/>
      <c r="S1338" s="395"/>
      <c r="T1338" s="396"/>
      <c r="U1338" s="396"/>
      <c r="V1338" s="396"/>
      <c r="W1338" s="396"/>
      <c r="X1338" s="397"/>
      <c r="Y1338" s="339"/>
      <c r="Z1338" s="339"/>
      <c r="AA1338" s="339"/>
    </row>
    <row r="1339" spans="7:27" ht="14.25">
      <c r="G1339" s="387"/>
      <c r="H1339" s="549"/>
      <c r="I1339" s="387"/>
      <c r="J1339" s="550"/>
      <c r="K1339" s="551"/>
      <c r="L1339" s="551"/>
      <c r="M1339" s="551"/>
      <c r="N1339" s="387"/>
      <c r="O1339" s="387"/>
      <c r="P1339" s="551"/>
      <c r="Q1339" s="394"/>
      <c r="R1339" s="551"/>
      <c r="S1339" s="395"/>
      <c r="T1339" s="395"/>
      <c r="U1339" s="395"/>
      <c r="V1339" s="395"/>
      <c r="W1339" s="395"/>
      <c r="X1339" s="622"/>
      <c r="Y1339" s="458"/>
      <c r="Z1339" s="458"/>
      <c r="AA1339" s="458"/>
    </row>
    <row r="1340" spans="7:27" ht="14.25">
      <c r="G1340" s="388"/>
      <c r="H1340" s="389"/>
      <c r="I1340" s="388"/>
      <c r="J1340" s="391"/>
      <c r="K1340" s="392"/>
      <c r="L1340" s="392"/>
      <c r="M1340" s="392"/>
      <c r="N1340" s="388"/>
      <c r="O1340" s="388"/>
      <c r="P1340" s="392"/>
      <c r="Q1340" s="394"/>
      <c r="R1340" s="392"/>
      <c r="S1340" s="395"/>
      <c r="T1340" s="396"/>
      <c r="U1340" s="396"/>
      <c r="V1340" s="396"/>
      <c r="W1340" s="396"/>
      <c r="X1340" s="397"/>
      <c r="Y1340" s="339"/>
      <c r="Z1340" s="339"/>
      <c r="AA1340" s="339"/>
    </row>
    <row r="1341" spans="7:27" ht="14.25">
      <c r="G1341" s="387"/>
      <c r="H1341" s="549"/>
      <c r="I1341" s="387"/>
      <c r="J1341" s="550"/>
      <c r="K1341" s="551"/>
      <c r="L1341" s="551"/>
      <c r="M1341" s="551"/>
      <c r="N1341" s="387"/>
      <c r="O1341" s="387"/>
      <c r="P1341" s="551"/>
      <c r="Q1341" s="394"/>
      <c r="R1341" s="551"/>
      <c r="S1341" s="395"/>
      <c r="T1341" s="395"/>
      <c r="U1341" s="395"/>
      <c r="V1341" s="395"/>
      <c r="W1341" s="395"/>
      <c r="X1341" s="622"/>
      <c r="Y1341" s="458"/>
      <c r="Z1341" s="458"/>
      <c r="AA1341" s="458"/>
    </row>
    <row r="1342" spans="7:27" ht="14.25">
      <c r="G1342" s="388"/>
      <c r="H1342" s="389"/>
      <c r="I1342" s="388"/>
      <c r="J1342" s="391"/>
      <c r="K1342" s="392"/>
      <c r="L1342" s="392"/>
      <c r="M1342" s="392"/>
      <c r="N1342" s="388"/>
      <c r="O1342" s="388"/>
      <c r="P1342" s="392"/>
      <c r="Q1342" s="394"/>
      <c r="R1342" s="392"/>
      <c r="S1342" s="395"/>
      <c r="T1342" s="396"/>
      <c r="U1342" s="396"/>
      <c r="V1342" s="396"/>
      <c r="W1342" s="396"/>
      <c r="X1342" s="397"/>
      <c r="Y1342" s="339"/>
      <c r="Z1342" s="339"/>
      <c r="AA1342" s="339"/>
    </row>
    <row r="1343" spans="7:27" ht="14.25">
      <c r="G1343" s="387"/>
      <c r="H1343" s="549"/>
      <c r="I1343" s="387"/>
      <c r="J1343" s="550"/>
      <c r="K1343" s="551"/>
      <c r="L1343" s="551"/>
      <c r="M1343" s="551"/>
      <c r="N1343" s="387"/>
      <c r="O1343" s="387"/>
      <c r="P1343" s="551"/>
      <c r="Q1343" s="394"/>
      <c r="R1343" s="551"/>
      <c r="S1343" s="395"/>
      <c r="T1343" s="395"/>
      <c r="U1343" s="395"/>
      <c r="V1343" s="395"/>
      <c r="W1343" s="395"/>
      <c r="X1343" s="622"/>
      <c r="Y1343" s="458"/>
      <c r="Z1343" s="458"/>
      <c r="AA1343" s="458"/>
    </row>
    <row r="1344" spans="7:27" ht="14.25">
      <c r="G1344" s="388"/>
      <c r="H1344" s="389"/>
      <c r="I1344" s="388"/>
      <c r="J1344" s="391"/>
      <c r="K1344" s="392"/>
      <c r="L1344" s="392"/>
      <c r="M1344" s="392"/>
      <c r="N1344" s="388"/>
      <c r="O1344" s="388"/>
      <c r="P1344" s="392"/>
      <c r="Q1344" s="394"/>
      <c r="R1344" s="392"/>
      <c r="S1344" s="395"/>
      <c r="T1344" s="396"/>
      <c r="U1344" s="396"/>
      <c r="V1344" s="396"/>
      <c r="W1344" s="396"/>
      <c r="X1344" s="397"/>
      <c r="Y1344" s="339"/>
      <c r="Z1344" s="339"/>
      <c r="AA1344" s="339"/>
    </row>
    <row r="1345" spans="7:27" ht="14.25">
      <c r="G1345" s="387"/>
      <c r="H1345" s="549"/>
      <c r="I1345" s="387"/>
      <c r="J1345" s="550"/>
      <c r="K1345" s="551"/>
      <c r="L1345" s="551"/>
      <c r="M1345" s="551"/>
      <c r="N1345" s="387"/>
      <c r="O1345" s="387"/>
      <c r="P1345" s="551"/>
      <c r="Q1345" s="394"/>
      <c r="R1345" s="551"/>
      <c r="S1345" s="395"/>
      <c r="T1345" s="395"/>
      <c r="U1345" s="395"/>
      <c r="V1345" s="395"/>
      <c r="W1345" s="395"/>
      <c r="X1345" s="622"/>
      <c r="Y1345" s="458"/>
      <c r="Z1345" s="458"/>
      <c r="AA1345" s="458"/>
    </row>
    <row r="1346" spans="7:27" ht="14.25">
      <c r="G1346" s="388"/>
      <c r="H1346" s="389"/>
      <c r="I1346" s="388"/>
      <c r="J1346" s="391"/>
      <c r="K1346" s="392"/>
      <c r="L1346" s="392"/>
      <c r="M1346" s="392"/>
      <c r="N1346" s="388"/>
      <c r="O1346" s="388"/>
      <c r="P1346" s="392"/>
      <c r="Q1346" s="394"/>
      <c r="R1346" s="392"/>
      <c r="S1346" s="395"/>
      <c r="T1346" s="396"/>
      <c r="U1346" s="396"/>
      <c r="V1346" s="396"/>
      <c r="W1346" s="396"/>
      <c r="X1346" s="397"/>
      <c r="Y1346" s="339"/>
      <c r="Z1346" s="339"/>
      <c r="AA1346" s="339"/>
    </row>
    <row r="1347" spans="7:27" ht="14.25">
      <c r="G1347" s="387"/>
      <c r="H1347" s="549"/>
      <c r="I1347" s="387"/>
      <c r="J1347" s="550"/>
      <c r="K1347" s="551"/>
      <c r="L1347" s="551"/>
      <c r="M1347" s="551"/>
      <c r="N1347" s="387"/>
      <c r="O1347" s="387"/>
      <c r="P1347" s="551"/>
      <c r="Q1347" s="394"/>
      <c r="R1347" s="551"/>
      <c r="S1347" s="395"/>
      <c r="T1347" s="395"/>
      <c r="U1347" s="395"/>
      <c r="V1347" s="395"/>
      <c r="W1347" s="395"/>
      <c r="X1347" s="622"/>
      <c r="Y1347" s="458"/>
      <c r="Z1347" s="458"/>
      <c r="AA1347" s="458"/>
    </row>
    <row r="1348" spans="7:27" ht="14.25">
      <c r="G1348" s="388"/>
      <c r="H1348" s="389"/>
      <c r="I1348" s="388"/>
      <c r="J1348" s="391"/>
      <c r="K1348" s="392"/>
      <c r="L1348" s="392"/>
      <c r="M1348" s="392"/>
      <c r="N1348" s="388"/>
      <c r="O1348" s="388"/>
      <c r="P1348" s="392"/>
      <c r="Q1348" s="394"/>
      <c r="R1348" s="392"/>
      <c r="S1348" s="395"/>
      <c r="T1348" s="396"/>
      <c r="U1348" s="396"/>
      <c r="V1348" s="396"/>
      <c r="W1348" s="396"/>
      <c r="X1348" s="397"/>
      <c r="Y1348" s="339"/>
      <c r="Z1348" s="339"/>
      <c r="AA1348" s="339"/>
    </row>
    <row r="1349" spans="7:27" ht="14.25">
      <c r="G1349" s="387"/>
      <c r="H1349" s="549"/>
      <c r="I1349" s="387"/>
      <c r="J1349" s="550"/>
      <c r="K1349" s="551"/>
      <c r="L1349" s="551"/>
      <c r="M1349" s="551"/>
      <c r="N1349" s="387"/>
      <c r="O1349" s="387"/>
      <c r="P1349" s="551"/>
      <c r="Q1349" s="394"/>
      <c r="R1349" s="551"/>
      <c r="S1349" s="395"/>
      <c r="T1349" s="395"/>
      <c r="U1349" s="395"/>
      <c r="V1349" s="395"/>
      <c r="W1349" s="395"/>
      <c r="X1349" s="622"/>
      <c r="Y1349" s="458"/>
      <c r="Z1349" s="458"/>
      <c r="AA1349" s="458"/>
    </row>
    <row r="1350" spans="7:27" ht="14.25">
      <c r="G1350" s="388"/>
      <c r="H1350" s="389"/>
      <c r="I1350" s="388"/>
      <c r="J1350" s="391"/>
      <c r="K1350" s="392"/>
      <c r="L1350" s="392"/>
      <c r="M1350" s="392"/>
      <c r="N1350" s="388"/>
      <c r="O1350" s="388"/>
      <c r="P1350" s="392"/>
      <c r="Q1350" s="394"/>
      <c r="R1350" s="392"/>
      <c r="S1350" s="395"/>
      <c r="T1350" s="396"/>
      <c r="U1350" s="396"/>
      <c r="V1350" s="396"/>
      <c r="W1350" s="396"/>
      <c r="X1350" s="397"/>
      <c r="Y1350" s="339"/>
      <c r="Z1350" s="339"/>
      <c r="AA1350" s="339"/>
    </row>
    <row r="1351" spans="7:27" ht="14.25">
      <c r="G1351" s="387"/>
      <c r="H1351" s="549"/>
      <c r="I1351" s="387"/>
      <c r="J1351" s="550"/>
      <c r="K1351" s="551"/>
      <c r="L1351" s="551"/>
      <c r="M1351" s="551"/>
      <c r="N1351" s="387"/>
      <c r="O1351" s="387"/>
      <c r="P1351" s="551"/>
      <c r="Q1351" s="394"/>
      <c r="R1351" s="551"/>
      <c r="S1351" s="395"/>
      <c r="T1351" s="395"/>
      <c r="U1351" s="395"/>
      <c r="V1351" s="395"/>
      <c r="W1351" s="395"/>
      <c r="X1351" s="622"/>
      <c r="Y1351" s="458"/>
      <c r="Z1351" s="458"/>
      <c r="AA1351" s="458"/>
    </row>
    <row r="1352" spans="7:27" ht="14.25">
      <c r="G1352" s="388"/>
      <c r="H1352" s="389"/>
      <c r="I1352" s="388"/>
      <c r="J1352" s="391"/>
      <c r="K1352" s="392"/>
      <c r="L1352" s="392"/>
      <c r="M1352" s="392"/>
      <c r="N1352" s="388"/>
      <c r="O1352" s="388"/>
      <c r="P1352" s="392"/>
      <c r="Q1352" s="394"/>
      <c r="R1352" s="392"/>
      <c r="S1352" s="395"/>
      <c r="T1352" s="396"/>
      <c r="U1352" s="396"/>
      <c r="V1352" s="396"/>
      <c r="W1352" s="396"/>
      <c r="X1352" s="397"/>
      <c r="Y1352" s="339"/>
      <c r="Z1352" s="339"/>
      <c r="AA1352" s="339"/>
    </row>
    <row r="1353" spans="7:27" ht="14.25">
      <c r="G1353" s="387"/>
      <c r="H1353" s="549"/>
      <c r="I1353" s="387"/>
      <c r="J1353" s="550"/>
      <c r="K1353" s="551"/>
      <c r="L1353" s="551"/>
      <c r="M1353" s="551"/>
      <c r="N1353" s="387"/>
      <c r="O1353" s="387"/>
      <c r="P1353" s="551"/>
      <c r="Q1353" s="394"/>
      <c r="R1353" s="551"/>
      <c r="S1353" s="395"/>
      <c r="T1353" s="395"/>
      <c r="U1353" s="395"/>
      <c r="V1353" s="395"/>
      <c r="W1353" s="395"/>
      <c r="X1353" s="622"/>
      <c r="Y1353" s="458"/>
      <c r="Z1353" s="458"/>
      <c r="AA1353" s="458"/>
    </row>
    <row r="1354" spans="7:27" ht="14.25">
      <c r="G1354" s="388"/>
      <c r="H1354" s="389"/>
      <c r="I1354" s="388"/>
      <c r="J1354" s="391"/>
      <c r="K1354" s="392"/>
      <c r="L1354" s="392"/>
      <c r="M1354" s="392"/>
      <c r="N1354" s="388"/>
      <c r="O1354" s="388"/>
      <c r="P1354" s="392"/>
      <c r="Q1354" s="394"/>
      <c r="R1354" s="392"/>
      <c r="S1354" s="395"/>
      <c r="T1354" s="396"/>
      <c r="U1354" s="396"/>
      <c r="V1354" s="396"/>
      <c r="W1354" s="396"/>
      <c r="X1354" s="397"/>
      <c r="Y1354" s="339"/>
      <c r="Z1354" s="339"/>
      <c r="AA1354" s="339"/>
    </row>
    <row r="1355" spans="7:27" ht="14.25">
      <c r="G1355" s="387"/>
      <c r="H1355" s="549"/>
      <c r="I1355" s="387"/>
      <c r="J1355" s="550"/>
      <c r="K1355" s="551"/>
      <c r="L1355" s="551"/>
      <c r="M1355" s="551"/>
      <c r="N1355" s="387"/>
      <c r="O1355" s="387"/>
      <c r="P1355" s="551"/>
      <c r="Q1355" s="394"/>
      <c r="R1355" s="551"/>
      <c r="S1355" s="395"/>
      <c r="T1355" s="395"/>
      <c r="U1355" s="395"/>
      <c r="V1355" s="395"/>
      <c r="W1355" s="395"/>
      <c r="X1355" s="622"/>
      <c r="Y1355" s="458"/>
      <c r="Z1355" s="458"/>
      <c r="AA1355" s="458"/>
    </row>
    <row r="1356" spans="7:27" ht="14.25">
      <c r="G1356" s="388"/>
      <c r="H1356" s="389"/>
      <c r="I1356" s="388"/>
      <c r="J1356" s="391"/>
      <c r="K1356" s="392"/>
      <c r="L1356" s="392"/>
      <c r="M1356" s="392"/>
      <c r="N1356" s="388"/>
      <c r="O1356" s="388"/>
      <c r="P1356" s="392"/>
      <c r="Q1356" s="394"/>
      <c r="R1356" s="392"/>
      <c r="S1356" s="395"/>
      <c r="T1356" s="396"/>
      <c r="U1356" s="396"/>
      <c r="V1356" s="396"/>
      <c r="W1356" s="396"/>
      <c r="X1356" s="397"/>
      <c r="Y1356" s="339"/>
      <c r="Z1356" s="339"/>
      <c r="AA1356" s="339"/>
    </row>
    <row r="1357" spans="7:27" ht="14.25">
      <c r="G1357" s="387"/>
      <c r="H1357" s="549"/>
      <c r="I1357" s="387"/>
      <c r="J1357" s="550"/>
      <c r="K1357" s="551"/>
      <c r="L1357" s="551"/>
      <c r="M1357" s="551"/>
      <c r="N1357" s="387"/>
      <c r="O1357" s="387"/>
      <c r="P1357" s="551"/>
      <c r="Q1357" s="394"/>
      <c r="R1357" s="551"/>
      <c r="S1357" s="395"/>
      <c r="T1357" s="395"/>
      <c r="U1357" s="395"/>
      <c r="V1357" s="395"/>
      <c r="W1357" s="395"/>
      <c r="X1357" s="622"/>
      <c r="Y1357" s="458"/>
      <c r="Z1357" s="458"/>
      <c r="AA1357" s="458"/>
    </row>
    <row r="1358" spans="7:27" ht="14.25">
      <c r="G1358" s="388"/>
      <c r="H1358" s="389"/>
      <c r="I1358" s="388"/>
      <c r="J1358" s="391"/>
      <c r="K1358" s="392"/>
      <c r="L1358" s="392"/>
      <c r="M1358" s="392"/>
      <c r="N1358" s="388"/>
      <c r="O1358" s="388"/>
      <c r="P1358" s="392"/>
      <c r="Q1358" s="394"/>
      <c r="R1358" s="392"/>
      <c r="S1358" s="395"/>
      <c r="T1358" s="396"/>
      <c r="U1358" s="396"/>
      <c r="V1358" s="396"/>
      <c r="W1358" s="396"/>
      <c r="X1358" s="397"/>
      <c r="Y1358" s="339"/>
      <c r="Z1358" s="339"/>
      <c r="AA1358" s="339"/>
    </row>
    <row r="1359" spans="7:27" ht="14.25">
      <c r="G1359" s="387"/>
      <c r="H1359" s="549"/>
      <c r="I1359" s="387"/>
      <c r="J1359" s="550"/>
      <c r="K1359" s="551"/>
      <c r="L1359" s="551"/>
      <c r="M1359" s="551"/>
      <c r="N1359" s="387"/>
      <c r="O1359" s="387"/>
      <c r="P1359" s="551"/>
      <c r="Q1359" s="394"/>
      <c r="R1359" s="551"/>
      <c r="S1359" s="395"/>
      <c r="T1359" s="395"/>
      <c r="U1359" s="395"/>
      <c r="V1359" s="395"/>
      <c r="W1359" s="395"/>
      <c r="X1359" s="622"/>
      <c r="Y1359" s="458"/>
      <c r="Z1359" s="458"/>
      <c r="AA1359" s="458"/>
    </row>
    <row r="1360" spans="7:27" ht="14.25">
      <c r="G1360" s="388"/>
      <c r="H1360" s="389"/>
      <c r="I1360" s="388"/>
      <c r="J1360" s="391"/>
      <c r="K1360" s="392"/>
      <c r="L1360" s="392"/>
      <c r="M1360" s="392"/>
      <c r="N1360" s="388"/>
      <c r="O1360" s="388"/>
      <c r="P1360" s="392"/>
      <c r="Q1360" s="394"/>
      <c r="R1360" s="392"/>
      <c r="S1360" s="395"/>
      <c r="T1360" s="396"/>
      <c r="U1360" s="396"/>
      <c r="V1360" s="396"/>
      <c r="W1360" s="396"/>
      <c r="X1360" s="397"/>
      <c r="Y1360" s="339"/>
      <c r="Z1360" s="339"/>
      <c r="AA1360" s="339"/>
    </row>
    <row r="1361" spans="7:27" ht="14.25">
      <c r="G1361" s="387"/>
      <c r="H1361" s="549"/>
      <c r="I1361" s="387"/>
      <c r="J1361" s="550"/>
      <c r="K1361" s="551"/>
      <c r="L1361" s="551"/>
      <c r="M1361" s="551"/>
      <c r="N1361" s="387"/>
      <c r="O1361" s="387"/>
      <c r="P1361" s="551"/>
      <c r="Q1361" s="394"/>
      <c r="R1361" s="551"/>
      <c r="S1361" s="395"/>
      <c r="T1361" s="395"/>
      <c r="U1361" s="395"/>
      <c r="V1361" s="395"/>
      <c r="W1361" s="395"/>
      <c r="X1361" s="622"/>
      <c r="Y1361" s="458"/>
      <c r="Z1361" s="458"/>
      <c r="AA1361" s="458"/>
    </row>
    <row r="1362" spans="7:27" ht="14.25">
      <c r="G1362" s="388"/>
      <c r="H1362" s="389"/>
      <c r="I1362" s="388"/>
      <c r="J1362" s="391"/>
      <c r="K1362" s="392"/>
      <c r="L1362" s="392"/>
      <c r="M1362" s="392"/>
      <c r="N1362" s="388"/>
      <c r="O1362" s="388"/>
      <c r="P1362" s="392"/>
      <c r="Q1362" s="394"/>
      <c r="R1362" s="392"/>
      <c r="S1362" s="395"/>
      <c r="T1362" s="396"/>
      <c r="U1362" s="396"/>
      <c r="V1362" s="396"/>
      <c r="W1362" s="396"/>
      <c r="X1362" s="397"/>
      <c r="Y1362" s="339"/>
      <c r="Z1362" s="339"/>
      <c r="AA1362" s="339"/>
    </row>
    <row r="1363" spans="7:27" ht="14.25">
      <c r="G1363" s="387"/>
      <c r="H1363" s="549"/>
      <c r="I1363" s="387"/>
      <c r="J1363" s="550"/>
      <c r="K1363" s="551"/>
      <c r="L1363" s="551"/>
      <c r="M1363" s="551"/>
      <c r="N1363" s="387"/>
      <c r="O1363" s="387"/>
      <c r="P1363" s="551"/>
      <c r="Q1363" s="394"/>
      <c r="R1363" s="551"/>
      <c r="S1363" s="395"/>
      <c r="T1363" s="395"/>
      <c r="U1363" s="395"/>
      <c r="V1363" s="395"/>
      <c r="W1363" s="395"/>
      <c r="X1363" s="622"/>
      <c r="Y1363" s="458"/>
      <c r="Z1363" s="458"/>
      <c r="AA1363" s="458"/>
    </row>
    <row r="1364" spans="7:27" ht="14.25">
      <c r="G1364" s="388"/>
      <c r="H1364" s="389"/>
      <c r="I1364" s="388"/>
      <c r="J1364" s="391"/>
      <c r="K1364" s="392"/>
      <c r="L1364" s="392"/>
      <c r="M1364" s="392"/>
      <c r="N1364" s="388"/>
      <c r="O1364" s="388"/>
      <c r="P1364" s="392"/>
      <c r="Q1364" s="394"/>
      <c r="R1364" s="392"/>
      <c r="S1364" s="395"/>
      <c r="T1364" s="396"/>
      <c r="U1364" s="396"/>
      <c r="V1364" s="396"/>
      <c r="W1364" s="396"/>
      <c r="X1364" s="397"/>
      <c r="Y1364" s="339"/>
      <c r="Z1364" s="339"/>
      <c r="AA1364" s="339"/>
    </row>
    <row r="1365" spans="7:27" ht="14.25">
      <c r="G1365" s="387"/>
      <c r="H1365" s="549"/>
      <c r="I1365" s="387"/>
      <c r="J1365" s="550"/>
      <c r="K1365" s="551"/>
      <c r="L1365" s="551"/>
      <c r="M1365" s="551"/>
      <c r="N1365" s="387"/>
      <c r="O1365" s="387"/>
      <c r="P1365" s="551"/>
      <c r="Q1365" s="394"/>
      <c r="R1365" s="551"/>
      <c r="S1365" s="395"/>
      <c r="T1365" s="395"/>
      <c r="U1365" s="395"/>
      <c r="V1365" s="395"/>
      <c r="W1365" s="395"/>
      <c r="X1365" s="622"/>
      <c r="Y1365" s="458"/>
      <c r="Z1365" s="458"/>
      <c r="AA1365" s="458"/>
    </row>
    <row r="1366" spans="7:27" ht="14.25">
      <c r="G1366" s="388"/>
      <c r="H1366" s="389"/>
      <c r="I1366" s="388"/>
      <c r="J1366" s="391"/>
      <c r="K1366" s="392"/>
      <c r="L1366" s="392"/>
      <c r="M1366" s="392"/>
      <c r="N1366" s="388"/>
      <c r="O1366" s="388"/>
      <c r="P1366" s="392"/>
      <c r="Q1366" s="394"/>
      <c r="R1366" s="392"/>
      <c r="S1366" s="395"/>
      <c r="T1366" s="396"/>
      <c r="U1366" s="396"/>
      <c r="V1366" s="396"/>
      <c r="W1366" s="396"/>
      <c r="X1366" s="397"/>
      <c r="Y1366" s="339"/>
      <c r="Z1366" s="339"/>
      <c r="AA1366" s="339"/>
    </row>
    <row r="1367" spans="7:27" ht="14.25">
      <c r="G1367" s="387"/>
      <c r="H1367" s="549"/>
      <c r="I1367" s="387"/>
      <c r="J1367" s="550"/>
      <c r="K1367" s="551"/>
      <c r="L1367" s="551"/>
      <c r="M1367" s="551"/>
      <c r="N1367" s="387"/>
      <c r="O1367" s="387"/>
      <c r="P1367" s="551"/>
      <c r="Q1367" s="394"/>
      <c r="R1367" s="551"/>
      <c r="S1367" s="395"/>
      <c r="T1367" s="395"/>
      <c r="U1367" s="395"/>
      <c r="V1367" s="395"/>
      <c r="W1367" s="395"/>
      <c r="X1367" s="622"/>
      <c r="Y1367" s="458"/>
      <c r="Z1367" s="458"/>
      <c r="AA1367" s="458"/>
    </row>
    <row r="1368" spans="7:27" ht="14.25">
      <c r="G1368" s="388"/>
      <c r="H1368" s="389"/>
      <c r="I1368" s="388"/>
      <c r="J1368" s="391"/>
      <c r="K1368" s="392"/>
      <c r="L1368" s="392"/>
      <c r="M1368" s="392"/>
      <c r="N1368" s="388"/>
      <c r="O1368" s="388"/>
      <c r="P1368" s="392"/>
      <c r="Q1368" s="394"/>
      <c r="R1368" s="392"/>
      <c r="S1368" s="395"/>
      <c r="T1368" s="396"/>
      <c r="U1368" s="396"/>
      <c r="V1368" s="396"/>
      <c r="W1368" s="396"/>
      <c r="X1368" s="397"/>
      <c r="Y1368" s="339"/>
      <c r="Z1368" s="339"/>
      <c r="AA1368" s="339"/>
    </row>
    <row r="1369" spans="7:27" ht="14.25">
      <c r="G1369" s="387"/>
      <c r="H1369" s="549"/>
      <c r="I1369" s="387"/>
      <c r="J1369" s="550"/>
      <c r="K1369" s="551"/>
      <c r="L1369" s="551"/>
      <c r="M1369" s="551"/>
      <c r="N1369" s="387"/>
      <c r="O1369" s="387"/>
      <c r="P1369" s="551"/>
      <c r="Q1369" s="394"/>
      <c r="R1369" s="551"/>
      <c r="S1369" s="395"/>
      <c r="T1369" s="395"/>
      <c r="U1369" s="395"/>
      <c r="V1369" s="395"/>
      <c r="W1369" s="395"/>
      <c r="X1369" s="622"/>
      <c r="Y1369" s="458"/>
      <c r="Z1369" s="458"/>
      <c r="AA1369" s="458"/>
    </row>
    <row r="1370" spans="7:27" ht="14.25">
      <c r="G1370" s="388"/>
      <c r="H1370" s="389"/>
      <c r="I1370" s="388"/>
      <c r="J1370" s="391"/>
      <c r="K1370" s="392"/>
      <c r="L1370" s="392"/>
      <c r="M1370" s="392"/>
      <c r="N1370" s="388"/>
      <c r="O1370" s="388"/>
      <c r="P1370" s="392"/>
      <c r="Q1370" s="394"/>
      <c r="R1370" s="392"/>
      <c r="S1370" s="395"/>
      <c r="T1370" s="396"/>
      <c r="U1370" s="396"/>
      <c r="V1370" s="396"/>
      <c r="W1370" s="396"/>
      <c r="X1370" s="397"/>
      <c r="Y1370" s="339"/>
      <c r="Z1370" s="339"/>
      <c r="AA1370" s="339"/>
    </row>
    <row r="1371" spans="7:27" ht="14.25">
      <c r="G1371" s="387"/>
      <c r="H1371" s="549"/>
      <c r="I1371" s="387"/>
      <c r="J1371" s="550"/>
      <c r="K1371" s="551"/>
      <c r="L1371" s="551"/>
      <c r="M1371" s="551"/>
      <c r="N1371" s="387"/>
      <c r="O1371" s="387"/>
      <c r="P1371" s="551"/>
      <c r="Q1371" s="394"/>
      <c r="R1371" s="551"/>
      <c r="S1371" s="395"/>
      <c r="T1371" s="395"/>
      <c r="U1371" s="395"/>
      <c r="V1371" s="395"/>
      <c r="W1371" s="395"/>
      <c r="X1371" s="622"/>
      <c r="Y1371" s="458"/>
      <c r="Z1371" s="458"/>
      <c r="AA1371" s="458"/>
    </row>
    <row r="1372" spans="7:27" ht="14.25">
      <c r="G1372" s="388"/>
      <c r="H1372" s="389"/>
      <c r="I1372" s="388"/>
      <c r="J1372" s="391"/>
      <c r="K1372" s="392"/>
      <c r="L1372" s="392"/>
      <c r="M1372" s="392"/>
      <c r="N1372" s="388"/>
      <c r="O1372" s="388"/>
      <c r="P1372" s="392"/>
      <c r="Q1372" s="394"/>
      <c r="R1372" s="392"/>
      <c r="S1372" s="395"/>
      <c r="T1372" s="396"/>
      <c r="U1372" s="396"/>
      <c r="V1372" s="396"/>
      <c r="W1372" s="396"/>
      <c r="X1372" s="397"/>
      <c r="Y1372" s="339"/>
      <c r="Z1372" s="339"/>
      <c r="AA1372" s="339"/>
    </row>
    <row r="1373" spans="7:27" ht="14.25">
      <c r="G1373" s="387"/>
      <c r="H1373" s="549"/>
      <c r="I1373" s="387"/>
      <c r="J1373" s="550"/>
      <c r="K1373" s="551"/>
      <c r="L1373" s="551"/>
      <c r="M1373" s="551"/>
      <c r="N1373" s="387"/>
      <c r="O1373" s="387"/>
      <c r="P1373" s="551"/>
      <c r="Q1373" s="394"/>
      <c r="R1373" s="551"/>
      <c r="S1373" s="395"/>
      <c r="T1373" s="395"/>
      <c r="U1373" s="395"/>
      <c r="V1373" s="395"/>
      <c r="W1373" s="395"/>
      <c r="X1373" s="622"/>
      <c r="Y1373" s="458"/>
      <c r="Z1373" s="458"/>
      <c r="AA1373" s="458"/>
    </row>
    <row r="1374" spans="7:27" ht="14.25">
      <c r="G1374" s="388"/>
      <c r="H1374" s="389"/>
      <c r="I1374" s="388"/>
      <c r="J1374" s="391"/>
      <c r="K1374" s="392"/>
      <c r="L1374" s="392"/>
      <c r="M1374" s="392"/>
      <c r="N1374" s="388"/>
      <c r="O1374" s="388"/>
      <c r="P1374" s="392"/>
      <c r="Q1374" s="394"/>
      <c r="R1374" s="392"/>
      <c r="S1374" s="395"/>
      <c r="T1374" s="396"/>
      <c r="U1374" s="396"/>
      <c r="V1374" s="396"/>
      <c r="W1374" s="396"/>
      <c r="X1374" s="397"/>
      <c r="Y1374" s="339"/>
      <c r="Z1374" s="339"/>
      <c r="AA1374" s="339"/>
    </row>
    <row r="1375" spans="7:27" ht="14.25">
      <c r="G1375" s="387"/>
      <c r="H1375" s="549"/>
      <c r="I1375" s="387"/>
      <c r="J1375" s="550"/>
      <c r="K1375" s="551"/>
      <c r="L1375" s="551"/>
      <c r="M1375" s="551"/>
      <c r="N1375" s="387"/>
      <c r="O1375" s="387"/>
      <c r="P1375" s="551"/>
      <c r="Q1375" s="394"/>
      <c r="R1375" s="551"/>
      <c r="S1375" s="395"/>
      <c r="T1375" s="395"/>
      <c r="U1375" s="395"/>
      <c r="V1375" s="395"/>
      <c r="W1375" s="395"/>
      <c r="X1375" s="622"/>
      <c r="Y1375" s="458"/>
      <c r="Z1375" s="458"/>
      <c r="AA1375" s="458"/>
    </row>
    <row r="1376" spans="7:27" ht="14.25">
      <c r="G1376" s="388"/>
      <c r="H1376" s="389"/>
      <c r="I1376" s="388"/>
      <c r="J1376" s="391"/>
      <c r="K1376" s="392"/>
      <c r="L1376" s="392"/>
      <c r="M1376" s="392"/>
      <c r="N1376" s="388"/>
      <c r="O1376" s="388"/>
      <c r="P1376" s="392"/>
      <c r="Q1376" s="394"/>
      <c r="R1376" s="392"/>
      <c r="S1376" s="395"/>
      <c r="T1376" s="396"/>
      <c r="U1376" s="396"/>
      <c r="V1376" s="396"/>
      <c r="W1376" s="396"/>
      <c r="X1376" s="397"/>
      <c r="Y1376" s="339"/>
      <c r="Z1376" s="339"/>
      <c r="AA1376" s="339"/>
    </row>
    <row r="1377" spans="7:27" ht="14.25">
      <c r="G1377" s="387"/>
      <c r="H1377" s="549"/>
      <c r="I1377" s="387"/>
      <c r="J1377" s="550"/>
      <c r="K1377" s="551"/>
      <c r="L1377" s="551"/>
      <c r="M1377" s="551"/>
      <c r="N1377" s="387"/>
      <c r="O1377" s="387"/>
      <c r="P1377" s="551"/>
      <c r="Q1377" s="394"/>
      <c r="R1377" s="551"/>
      <c r="S1377" s="395"/>
      <c r="T1377" s="395"/>
      <c r="U1377" s="395"/>
      <c r="V1377" s="395"/>
      <c r="W1377" s="395"/>
      <c r="X1377" s="622"/>
      <c r="Y1377" s="458"/>
      <c r="Z1377" s="458"/>
      <c r="AA1377" s="458"/>
    </row>
    <row r="1378" spans="7:27" ht="14.25">
      <c r="G1378" s="388"/>
      <c r="H1378" s="389"/>
      <c r="I1378" s="388"/>
      <c r="J1378" s="391"/>
      <c r="K1378" s="392"/>
      <c r="L1378" s="392"/>
      <c r="M1378" s="392"/>
      <c r="N1378" s="388"/>
      <c r="O1378" s="388"/>
      <c r="P1378" s="392"/>
      <c r="Q1378" s="394"/>
      <c r="R1378" s="392"/>
      <c r="S1378" s="395"/>
      <c r="T1378" s="396"/>
      <c r="U1378" s="396"/>
      <c r="V1378" s="396"/>
      <c r="W1378" s="396"/>
      <c r="X1378" s="397"/>
      <c r="Y1378" s="339"/>
      <c r="Z1378" s="339"/>
      <c r="AA1378" s="339"/>
    </row>
    <row r="1379" spans="7:27" ht="14.25">
      <c r="G1379" s="387"/>
      <c r="H1379" s="549"/>
      <c r="I1379" s="387"/>
      <c r="J1379" s="550"/>
      <c r="K1379" s="551"/>
      <c r="L1379" s="551"/>
      <c r="M1379" s="551"/>
      <c r="N1379" s="387"/>
      <c r="O1379" s="387"/>
      <c r="P1379" s="551"/>
      <c r="Q1379" s="394"/>
      <c r="R1379" s="551"/>
      <c r="S1379" s="395"/>
      <c r="T1379" s="395"/>
      <c r="U1379" s="395"/>
      <c r="V1379" s="395"/>
      <c r="W1379" s="395"/>
      <c r="X1379" s="622"/>
      <c r="Y1379" s="458"/>
      <c r="Z1379" s="458"/>
      <c r="AA1379" s="458"/>
    </row>
    <row r="1380" spans="7:27" ht="14.25">
      <c r="G1380" s="388"/>
      <c r="H1380" s="389"/>
      <c r="I1380" s="388"/>
      <c r="J1380" s="391"/>
      <c r="K1380" s="392"/>
      <c r="L1380" s="392"/>
      <c r="M1380" s="392"/>
      <c r="N1380" s="388"/>
      <c r="O1380" s="388"/>
      <c r="P1380" s="392"/>
      <c r="Q1380" s="394"/>
      <c r="R1380" s="392"/>
      <c r="S1380" s="395"/>
      <c r="T1380" s="396"/>
      <c r="U1380" s="396"/>
      <c r="V1380" s="396"/>
      <c r="W1380" s="396"/>
      <c r="X1380" s="397"/>
      <c r="Y1380" s="339"/>
      <c r="Z1380" s="339"/>
      <c r="AA1380" s="339"/>
    </row>
    <row r="1381" spans="7:27" ht="14.25">
      <c r="G1381" s="387"/>
      <c r="H1381" s="549"/>
      <c r="I1381" s="387"/>
      <c r="J1381" s="550"/>
      <c r="K1381" s="551"/>
      <c r="L1381" s="551"/>
      <c r="M1381" s="551"/>
      <c r="N1381" s="387"/>
      <c r="O1381" s="387"/>
      <c r="P1381" s="551"/>
      <c r="Q1381" s="394"/>
      <c r="R1381" s="551"/>
      <c r="S1381" s="395"/>
      <c r="T1381" s="395"/>
      <c r="U1381" s="395"/>
      <c r="V1381" s="395"/>
      <c r="W1381" s="395"/>
      <c r="X1381" s="622"/>
      <c r="Y1381" s="458"/>
      <c r="Z1381" s="458"/>
      <c r="AA1381" s="458"/>
    </row>
    <row r="1382" spans="7:27" ht="14.25">
      <c r="G1382" s="388"/>
      <c r="H1382" s="389"/>
      <c r="I1382" s="388"/>
      <c r="J1382" s="391"/>
      <c r="K1382" s="392"/>
      <c r="L1382" s="392"/>
      <c r="M1382" s="392"/>
      <c r="N1382" s="388"/>
      <c r="O1382" s="388"/>
      <c r="P1382" s="392"/>
      <c r="Q1382" s="394"/>
      <c r="R1382" s="392"/>
      <c r="S1382" s="395"/>
      <c r="T1382" s="396"/>
      <c r="U1382" s="396"/>
      <c r="V1382" s="396"/>
      <c r="W1382" s="396"/>
      <c r="X1382" s="397"/>
      <c r="Y1382" s="339"/>
      <c r="Z1382" s="339"/>
      <c r="AA1382" s="339"/>
    </row>
    <row r="1383" spans="7:27" ht="14.25">
      <c r="G1383" s="387"/>
      <c r="H1383" s="549"/>
      <c r="I1383" s="387"/>
      <c r="J1383" s="550"/>
      <c r="K1383" s="551"/>
      <c r="L1383" s="551"/>
      <c r="M1383" s="551"/>
      <c r="N1383" s="387"/>
      <c r="O1383" s="387"/>
      <c r="P1383" s="551"/>
      <c r="Q1383" s="394"/>
      <c r="R1383" s="551"/>
      <c r="S1383" s="395"/>
      <c r="T1383" s="395"/>
      <c r="U1383" s="395"/>
      <c r="V1383" s="395"/>
      <c r="W1383" s="395"/>
      <c r="X1383" s="622"/>
      <c r="Y1383" s="458"/>
      <c r="Z1383" s="458"/>
      <c r="AA1383" s="458"/>
    </row>
    <row r="1384" spans="7:27" ht="14.25">
      <c r="G1384" s="388"/>
      <c r="H1384" s="389"/>
      <c r="I1384" s="388"/>
      <c r="J1384" s="391"/>
      <c r="K1384" s="392"/>
      <c r="L1384" s="392"/>
      <c r="M1384" s="392"/>
      <c r="N1384" s="388"/>
      <c r="O1384" s="388"/>
      <c r="P1384" s="392"/>
      <c r="Q1384" s="394"/>
      <c r="R1384" s="392"/>
      <c r="S1384" s="395"/>
      <c r="T1384" s="396"/>
      <c r="U1384" s="396"/>
      <c r="V1384" s="396"/>
      <c r="W1384" s="396"/>
      <c r="X1384" s="397"/>
      <c r="Y1384" s="339"/>
      <c r="Z1384" s="339"/>
      <c r="AA1384" s="339"/>
    </row>
    <row r="1385" spans="7:27" ht="14.25">
      <c r="G1385" s="387"/>
      <c r="H1385" s="549"/>
      <c r="I1385" s="387"/>
      <c r="J1385" s="550"/>
      <c r="K1385" s="551"/>
      <c r="L1385" s="551"/>
      <c r="M1385" s="551"/>
      <c r="N1385" s="387"/>
      <c r="O1385" s="387"/>
      <c r="P1385" s="551"/>
      <c r="Q1385" s="394"/>
      <c r="R1385" s="551"/>
      <c r="S1385" s="395"/>
      <c r="T1385" s="395"/>
      <c r="U1385" s="395"/>
      <c r="V1385" s="395"/>
      <c r="W1385" s="395"/>
      <c r="X1385" s="622"/>
      <c r="Y1385" s="458"/>
      <c r="Z1385" s="458"/>
      <c r="AA1385" s="458"/>
    </row>
    <row r="1386" spans="7:27" ht="14.25">
      <c r="G1386" s="388"/>
      <c r="H1386" s="389"/>
      <c r="I1386" s="388"/>
      <c r="J1386" s="391"/>
      <c r="K1386" s="392"/>
      <c r="L1386" s="392"/>
      <c r="M1386" s="392"/>
      <c r="N1386" s="388"/>
      <c r="O1386" s="388"/>
      <c r="P1386" s="392"/>
      <c r="Q1386" s="394"/>
      <c r="R1386" s="392"/>
      <c r="S1386" s="395"/>
      <c r="T1386" s="396"/>
      <c r="U1386" s="396"/>
      <c r="V1386" s="396"/>
      <c r="W1386" s="396"/>
      <c r="X1386" s="397"/>
      <c r="Y1386" s="339"/>
      <c r="Z1386" s="339"/>
      <c r="AA1386" s="339"/>
    </row>
    <row r="1387" spans="7:27" ht="14.25">
      <c r="G1387" s="387"/>
      <c r="H1387" s="549"/>
      <c r="I1387" s="387"/>
      <c r="J1387" s="550"/>
      <c r="K1387" s="551"/>
      <c r="L1387" s="551"/>
      <c r="M1387" s="551"/>
      <c r="N1387" s="387"/>
      <c r="O1387" s="387"/>
      <c r="P1387" s="551"/>
      <c r="Q1387" s="394"/>
      <c r="R1387" s="551"/>
      <c r="S1387" s="395"/>
      <c r="T1387" s="395"/>
      <c r="U1387" s="395"/>
      <c r="V1387" s="395"/>
      <c r="W1387" s="395"/>
      <c r="X1387" s="622"/>
      <c r="Y1387" s="458"/>
      <c r="Z1387" s="458"/>
      <c r="AA1387" s="458"/>
    </row>
    <row r="1388" spans="7:27" ht="14.25">
      <c r="G1388" s="388"/>
      <c r="H1388" s="389"/>
      <c r="I1388" s="388"/>
      <c r="J1388" s="391"/>
      <c r="K1388" s="392"/>
      <c r="L1388" s="392"/>
      <c r="M1388" s="392"/>
      <c r="N1388" s="388"/>
      <c r="O1388" s="388"/>
      <c r="P1388" s="392"/>
      <c r="Q1388" s="394"/>
      <c r="R1388" s="392"/>
      <c r="S1388" s="395"/>
      <c r="T1388" s="396"/>
      <c r="U1388" s="396"/>
      <c r="V1388" s="396"/>
      <c r="W1388" s="396"/>
      <c r="X1388" s="397"/>
      <c r="Y1388" s="339"/>
      <c r="Z1388" s="339"/>
      <c r="AA1388" s="339"/>
    </row>
    <row r="1389" spans="7:27" ht="14.25">
      <c r="G1389" s="387"/>
      <c r="H1389" s="549"/>
      <c r="I1389" s="387"/>
      <c r="J1389" s="550"/>
      <c r="K1389" s="551"/>
      <c r="L1389" s="551"/>
      <c r="M1389" s="551"/>
      <c r="N1389" s="387"/>
      <c r="O1389" s="387"/>
      <c r="P1389" s="551"/>
      <c r="Q1389" s="394"/>
      <c r="R1389" s="551"/>
      <c r="S1389" s="395"/>
      <c r="T1389" s="395"/>
      <c r="U1389" s="395"/>
      <c r="V1389" s="395"/>
      <c r="W1389" s="395"/>
      <c r="X1389" s="622"/>
      <c r="Y1389" s="458"/>
      <c r="Z1389" s="458"/>
      <c r="AA1389" s="458"/>
    </row>
    <row r="1390" spans="7:27" ht="14.25">
      <c r="G1390" s="388"/>
      <c r="H1390" s="389"/>
      <c r="I1390" s="388"/>
      <c r="J1390" s="391"/>
      <c r="K1390" s="392"/>
      <c r="L1390" s="392"/>
      <c r="M1390" s="392"/>
      <c r="N1390" s="388"/>
      <c r="O1390" s="388"/>
      <c r="P1390" s="392"/>
      <c r="Q1390" s="394"/>
      <c r="R1390" s="392"/>
      <c r="S1390" s="395"/>
      <c r="T1390" s="396"/>
      <c r="U1390" s="396"/>
      <c r="V1390" s="396"/>
      <c r="W1390" s="396"/>
      <c r="X1390" s="397"/>
      <c r="Y1390" s="339"/>
      <c r="Z1390" s="339"/>
      <c r="AA1390" s="339"/>
    </row>
    <row r="1391" spans="7:27" ht="14.25">
      <c r="G1391" s="387"/>
      <c r="H1391" s="549"/>
      <c r="I1391" s="387"/>
      <c r="J1391" s="550"/>
      <c r="K1391" s="551"/>
      <c r="L1391" s="551"/>
      <c r="M1391" s="551"/>
      <c r="N1391" s="387"/>
      <c r="O1391" s="387"/>
      <c r="P1391" s="551"/>
      <c r="Q1391" s="394"/>
      <c r="R1391" s="551"/>
      <c r="S1391" s="395"/>
      <c r="T1391" s="395"/>
      <c r="U1391" s="395"/>
      <c r="V1391" s="395"/>
      <c r="W1391" s="395"/>
      <c r="X1391" s="622"/>
      <c r="Y1391" s="458"/>
      <c r="Z1391" s="458"/>
      <c r="AA1391" s="458"/>
    </row>
    <row r="1392" spans="7:27" ht="14.25">
      <c r="G1392" s="388"/>
      <c r="H1392" s="389"/>
      <c r="I1392" s="388"/>
      <c r="J1392" s="391"/>
      <c r="K1392" s="392"/>
      <c r="L1392" s="392"/>
      <c r="M1392" s="392"/>
      <c r="N1392" s="388"/>
      <c r="O1392" s="388"/>
      <c r="P1392" s="392"/>
      <c r="Q1392" s="394"/>
      <c r="R1392" s="392"/>
      <c r="S1392" s="395"/>
      <c r="T1392" s="396"/>
      <c r="U1392" s="396"/>
      <c r="V1392" s="396"/>
      <c r="W1392" s="396"/>
      <c r="X1392" s="397"/>
      <c r="Y1392" s="339"/>
      <c r="Z1392" s="339"/>
      <c r="AA1392" s="339"/>
    </row>
    <row r="1393" spans="7:27" ht="14.25">
      <c r="G1393" s="387"/>
      <c r="H1393" s="549"/>
      <c r="I1393" s="387"/>
      <c r="J1393" s="550"/>
      <c r="K1393" s="551"/>
      <c r="L1393" s="551"/>
      <c r="M1393" s="551"/>
      <c r="N1393" s="387"/>
      <c r="O1393" s="387"/>
      <c r="P1393" s="551"/>
      <c r="Q1393" s="394"/>
      <c r="R1393" s="551"/>
      <c r="S1393" s="395"/>
      <c r="T1393" s="395"/>
      <c r="U1393" s="395"/>
      <c r="V1393" s="395"/>
      <c r="W1393" s="395"/>
      <c r="X1393" s="622"/>
      <c r="Y1393" s="458"/>
      <c r="Z1393" s="458"/>
      <c r="AA1393" s="458"/>
    </row>
    <row r="1394" spans="7:27" ht="14.25">
      <c r="G1394" s="388"/>
      <c r="H1394" s="389"/>
      <c r="I1394" s="388"/>
      <c r="J1394" s="391"/>
      <c r="K1394" s="392"/>
      <c r="L1394" s="392"/>
      <c r="M1394" s="392"/>
      <c r="N1394" s="388"/>
      <c r="O1394" s="388"/>
      <c r="P1394" s="392"/>
      <c r="Q1394" s="394"/>
      <c r="R1394" s="392"/>
      <c r="S1394" s="395"/>
      <c r="T1394" s="396"/>
      <c r="U1394" s="396"/>
      <c r="V1394" s="396"/>
      <c r="W1394" s="396"/>
      <c r="X1394" s="397"/>
      <c r="Y1394" s="339"/>
      <c r="Z1394" s="339"/>
      <c r="AA1394" s="339"/>
    </row>
    <row r="1395" spans="7:27" ht="14.25">
      <c r="G1395" s="387"/>
      <c r="H1395" s="549"/>
      <c r="I1395" s="387"/>
      <c r="J1395" s="550"/>
      <c r="K1395" s="551"/>
      <c r="L1395" s="551"/>
      <c r="M1395" s="551"/>
      <c r="N1395" s="387"/>
      <c r="O1395" s="387"/>
      <c r="P1395" s="551"/>
      <c r="Q1395" s="394"/>
      <c r="R1395" s="551"/>
      <c r="S1395" s="395"/>
      <c r="T1395" s="395"/>
      <c r="U1395" s="395"/>
      <c r="V1395" s="395"/>
      <c r="W1395" s="395"/>
      <c r="X1395" s="622"/>
      <c r="Y1395" s="458"/>
      <c r="Z1395" s="458"/>
      <c r="AA1395" s="458"/>
    </row>
    <row r="1396" spans="7:27" ht="14.25">
      <c r="G1396" s="388"/>
      <c r="H1396" s="389"/>
      <c r="I1396" s="388"/>
      <c r="J1396" s="391"/>
      <c r="K1396" s="392"/>
      <c r="L1396" s="392"/>
      <c r="M1396" s="392"/>
      <c r="N1396" s="388"/>
      <c r="O1396" s="388"/>
      <c r="P1396" s="392"/>
      <c r="Q1396" s="394"/>
      <c r="R1396" s="392"/>
      <c r="S1396" s="395"/>
      <c r="T1396" s="396"/>
      <c r="U1396" s="396"/>
      <c r="V1396" s="396"/>
      <c r="W1396" s="396"/>
      <c r="X1396" s="397"/>
      <c r="Y1396" s="339"/>
      <c r="Z1396" s="339"/>
      <c r="AA1396" s="339"/>
    </row>
    <row r="1397" spans="7:27" ht="14.25">
      <c r="G1397" s="387"/>
      <c r="H1397" s="549"/>
      <c r="I1397" s="387"/>
      <c r="J1397" s="550"/>
      <c r="K1397" s="551"/>
      <c r="L1397" s="551"/>
      <c r="M1397" s="551"/>
      <c r="N1397" s="387"/>
      <c r="O1397" s="387"/>
      <c r="P1397" s="551"/>
      <c r="Q1397" s="394"/>
      <c r="R1397" s="551"/>
      <c r="S1397" s="395"/>
      <c r="T1397" s="395"/>
      <c r="U1397" s="395"/>
      <c r="V1397" s="395"/>
      <c r="W1397" s="395"/>
      <c r="X1397" s="622"/>
      <c r="Y1397" s="458"/>
      <c r="Z1397" s="458"/>
      <c r="AA1397" s="458"/>
    </row>
    <row r="1398" spans="7:27" ht="14.25">
      <c r="G1398" s="388"/>
      <c r="H1398" s="389"/>
      <c r="I1398" s="388"/>
      <c r="J1398" s="391"/>
      <c r="K1398" s="392"/>
      <c r="L1398" s="392"/>
      <c r="M1398" s="392"/>
      <c r="N1398" s="388"/>
      <c r="O1398" s="388"/>
      <c r="P1398" s="392"/>
      <c r="Q1398" s="394"/>
      <c r="R1398" s="392"/>
      <c r="S1398" s="395"/>
      <c r="T1398" s="396"/>
      <c r="U1398" s="396"/>
      <c r="V1398" s="396"/>
      <c r="W1398" s="396"/>
      <c r="X1398" s="397"/>
      <c r="Y1398" s="339"/>
      <c r="Z1398" s="339"/>
      <c r="AA1398" s="339"/>
    </row>
    <row r="1399" spans="7:27" ht="14.25">
      <c r="G1399" s="387"/>
      <c r="H1399" s="549"/>
      <c r="I1399" s="387"/>
      <c r="J1399" s="550"/>
      <c r="K1399" s="551"/>
      <c r="L1399" s="551"/>
      <c r="M1399" s="551"/>
      <c r="N1399" s="387"/>
      <c r="O1399" s="387"/>
      <c r="P1399" s="551"/>
      <c r="Q1399" s="394"/>
      <c r="R1399" s="551"/>
      <c r="S1399" s="395"/>
      <c r="T1399" s="395"/>
      <c r="U1399" s="395"/>
      <c r="V1399" s="395"/>
      <c r="W1399" s="395"/>
      <c r="X1399" s="622"/>
      <c r="Y1399" s="458"/>
      <c r="Z1399" s="458"/>
      <c r="AA1399" s="458"/>
    </row>
    <row r="1400" spans="7:27" ht="14.25">
      <c r="G1400" s="388"/>
      <c r="H1400" s="389"/>
      <c r="I1400" s="388"/>
      <c r="J1400" s="391"/>
      <c r="K1400" s="392"/>
      <c r="L1400" s="392"/>
      <c r="M1400" s="392"/>
      <c r="N1400" s="388"/>
      <c r="O1400" s="388"/>
      <c r="P1400" s="392"/>
      <c r="Q1400" s="394"/>
      <c r="R1400" s="392"/>
      <c r="S1400" s="395"/>
      <c r="T1400" s="396"/>
      <c r="U1400" s="396"/>
      <c r="V1400" s="396"/>
      <c r="W1400" s="396"/>
      <c r="X1400" s="397"/>
      <c r="Y1400" s="339"/>
      <c r="Z1400" s="339"/>
      <c r="AA1400" s="339"/>
    </row>
    <row r="1401" spans="7:27" ht="14.25">
      <c r="G1401" s="387"/>
      <c r="H1401" s="549"/>
      <c r="I1401" s="387"/>
      <c r="J1401" s="550"/>
      <c r="K1401" s="551"/>
      <c r="L1401" s="551"/>
      <c r="M1401" s="551"/>
      <c r="N1401" s="387"/>
      <c r="O1401" s="387"/>
      <c r="P1401" s="551"/>
      <c r="Q1401" s="394"/>
      <c r="R1401" s="551"/>
      <c r="S1401" s="395"/>
      <c r="T1401" s="395"/>
      <c r="U1401" s="395"/>
      <c r="V1401" s="395"/>
      <c r="W1401" s="395"/>
      <c r="X1401" s="622"/>
      <c r="Y1401" s="458"/>
      <c r="Z1401" s="458"/>
      <c r="AA1401" s="458"/>
    </row>
    <row r="1402" spans="7:27" ht="14.25">
      <c r="G1402" s="388"/>
      <c r="H1402" s="389"/>
      <c r="I1402" s="388"/>
      <c r="J1402" s="391"/>
      <c r="K1402" s="392"/>
      <c r="L1402" s="392"/>
      <c r="M1402" s="392"/>
      <c r="N1402" s="388"/>
      <c r="O1402" s="388"/>
      <c r="P1402" s="392"/>
      <c r="Q1402" s="394"/>
      <c r="R1402" s="392"/>
      <c r="S1402" s="395"/>
      <c r="T1402" s="396"/>
      <c r="U1402" s="396"/>
      <c r="V1402" s="396"/>
      <c r="W1402" s="396"/>
      <c r="X1402" s="397"/>
      <c r="Y1402" s="339"/>
      <c r="Z1402" s="339"/>
      <c r="AA1402" s="339"/>
    </row>
    <row r="1403" spans="7:27" ht="14.25">
      <c r="G1403" s="387"/>
      <c r="H1403" s="549"/>
      <c r="I1403" s="387"/>
      <c r="J1403" s="550"/>
      <c r="K1403" s="551"/>
      <c r="L1403" s="551"/>
      <c r="M1403" s="551"/>
      <c r="N1403" s="387"/>
      <c r="O1403" s="387"/>
      <c r="P1403" s="551"/>
      <c r="Q1403" s="394"/>
      <c r="R1403" s="551"/>
      <c r="S1403" s="395"/>
      <c r="T1403" s="395"/>
      <c r="U1403" s="395"/>
      <c r="V1403" s="395"/>
      <c r="W1403" s="395"/>
      <c r="X1403" s="622"/>
      <c r="Y1403" s="458"/>
      <c r="Z1403" s="458"/>
      <c r="AA1403" s="458"/>
    </row>
    <row r="1404" spans="7:27" ht="14.25">
      <c r="G1404" s="388"/>
      <c r="H1404" s="389"/>
      <c r="I1404" s="388"/>
      <c r="J1404" s="391"/>
      <c r="K1404" s="392"/>
      <c r="L1404" s="392"/>
      <c r="M1404" s="392"/>
      <c r="N1404" s="388"/>
      <c r="O1404" s="388"/>
      <c r="P1404" s="392"/>
      <c r="Q1404" s="394"/>
      <c r="R1404" s="392"/>
      <c r="S1404" s="395"/>
      <c r="T1404" s="396"/>
      <c r="U1404" s="396"/>
      <c r="V1404" s="396"/>
      <c r="W1404" s="396"/>
      <c r="X1404" s="397"/>
      <c r="Y1404" s="339"/>
      <c r="Z1404" s="339"/>
      <c r="AA1404" s="339"/>
    </row>
    <row r="1405" spans="7:27" ht="14.25">
      <c r="G1405" s="387"/>
      <c r="H1405" s="549"/>
      <c r="I1405" s="387"/>
      <c r="J1405" s="550"/>
      <c r="K1405" s="551"/>
      <c r="L1405" s="551"/>
      <c r="M1405" s="551"/>
      <c r="N1405" s="387"/>
      <c r="O1405" s="387"/>
      <c r="P1405" s="551"/>
      <c r="Q1405" s="394"/>
      <c r="R1405" s="551"/>
      <c r="S1405" s="395"/>
      <c r="T1405" s="395"/>
      <c r="U1405" s="395"/>
      <c r="V1405" s="395"/>
      <c r="W1405" s="395"/>
      <c r="X1405" s="622"/>
      <c r="Y1405" s="458"/>
      <c r="Z1405" s="458"/>
      <c r="AA1405" s="458"/>
    </row>
    <row r="1406" spans="7:27" ht="14.25">
      <c r="G1406" s="388"/>
      <c r="H1406" s="389"/>
      <c r="I1406" s="388"/>
      <c r="J1406" s="391"/>
      <c r="K1406" s="392"/>
      <c r="L1406" s="392"/>
      <c r="M1406" s="392"/>
      <c r="N1406" s="388"/>
      <c r="O1406" s="388"/>
      <c r="P1406" s="392"/>
      <c r="Q1406" s="394"/>
      <c r="R1406" s="392"/>
      <c r="S1406" s="395"/>
      <c r="T1406" s="396"/>
      <c r="U1406" s="396"/>
      <c r="V1406" s="396"/>
      <c r="W1406" s="396"/>
      <c r="X1406" s="397"/>
      <c r="Y1406" s="339"/>
      <c r="Z1406" s="339"/>
      <c r="AA1406" s="339"/>
    </row>
    <row r="1407" spans="7:27" ht="14.25">
      <c r="G1407" s="387"/>
      <c r="H1407" s="549"/>
      <c r="I1407" s="387"/>
      <c r="J1407" s="550"/>
      <c r="K1407" s="551"/>
      <c r="L1407" s="551"/>
      <c r="M1407" s="551"/>
      <c r="N1407" s="387"/>
      <c r="O1407" s="387"/>
      <c r="P1407" s="551"/>
      <c r="Q1407" s="394"/>
      <c r="R1407" s="551"/>
      <c r="S1407" s="395"/>
      <c r="T1407" s="395"/>
      <c r="U1407" s="395"/>
      <c r="V1407" s="395"/>
      <c r="W1407" s="395"/>
      <c r="X1407" s="622"/>
      <c r="Y1407" s="458"/>
      <c r="Z1407" s="458"/>
      <c r="AA1407" s="458"/>
    </row>
    <row r="1408" spans="7:27" ht="14.25">
      <c r="G1408" s="388"/>
      <c r="H1408" s="389"/>
      <c r="I1408" s="388"/>
      <c r="J1408" s="391"/>
      <c r="K1408" s="392"/>
      <c r="L1408" s="392"/>
      <c r="M1408" s="392"/>
      <c r="N1408" s="388"/>
      <c r="O1408" s="388"/>
      <c r="P1408" s="392"/>
      <c r="Q1408" s="394"/>
      <c r="R1408" s="392"/>
      <c r="S1408" s="395"/>
      <c r="T1408" s="396"/>
      <c r="U1408" s="396"/>
      <c r="V1408" s="396"/>
      <c r="W1408" s="396"/>
      <c r="X1408" s="397"/>
      <c r="Y1408" s="339"/>
      <c r="Z1408" s="339"/>
      <c r="AA1408" s="339"/>
    </row>
    <row r="1409" spans="7:27" ht="14.25">
      <c r="G1409" s="387"/>
      <c r="H1409" s="549"/>
      <c r="I1409" s="387"/>
      <c r="J1409" s="550"/>
      <c r="K1409" s="551"/>
      <c r="L1409" s="551"/>
      <c r="M1409" s="551"/>
      <c r="N1409" s="387"/>
      <c r="O1409" s="387"/>
      <c r="P1409" s="551"/>
      <c r="Q1409" s="394"/>
      <c r="R1409" s="551"/>
      <c r="S1409" s="395"/>
      <c r="T1409" s="395"/>
      <c r="U1409" s="395"/>
      <c r="V1409" s="395"/>
      <c r="W1409" s="395"/>
      <c r="X1409" s="622"/>
      <c r="Y1409" s="458"/>
      <c r="Z1409" s="458"/>
      <c r="AA1409" s="458"/>
    </row>
    <row r="1410" spans="7:27" ht="14.25">
      <c r="G1410" s="388"/>
      <c r="H1410" s="389"/>
      <c r="I1410" s="388"/>
      <c r="J1410" s="391"/>
      <c r="K1410" s="392"/>
      <c r="L1410" s="392"/>
      <c r="M1410" s="392"/>
      <c r="N1410" s="388"/>
      <c r="O1410" s="388"/>
      <c r="P1410" s="392"/>
      <c r="Q1410" s="394"/>
      <c r="R1410" s="392"/>
      <c r="S1410" s="395"/>
      <c r="T1410" s="396"/>
      <c r="U1410" s="396"/>
      <c r="V1410" s="396"/>
      <c r="W1410" s="396"/>
      <c r="X1410" s="397"/>
      <c r="Y1410" s="339"/>
      <c r="Z1410" s="339"/>
      <c r="AA1410" s="339"/>
    </row>
    <row r="1411" spans="7:27" ht="14.25">
      <c r="G1411" s="387"/>
      <c r="H1411" s="549"/>
      <c r="I1411" s="387"/>
      <c r="J1411" s="550"/>
      <c r="K1411" s="551"/>
      <c r="L1411" s="551"/>
      <c r="M1411" s="551"/>
      <c r="N1411" s="387"/>
      <c r="O1411" s="387"/>
      <c r="P1411" s="551"/>
      <c r="Q1411" s="394"/>
      <c r="R1411" s="551"/>
      <c r="S1411" s="395"/>
      <c r="T1411" s="395"/>
      <c r="U1411" s="395"/>
      <c r="V1411" s="395"/>
      <c r="W1411" s="395"/>
      <c r="X1411" s="622"/>
      <c r="Y1411" s="458"/>
      <c r="Z1411" s="458"/>
      <c r="AA1411" s="458"/>
    </row>
    <row r="1412" spans="7:27" ht="14.25">
      <c r="G1412" s="388"/>
      <c r="H1412" s="389"/>
      <c r="I1412" s="388"/>
      <c r="J1412" s="391"/>
      <c r="K1412" s="392"/>
      <c r="L1412" s="392"/>
      <c r="M1412" s="392"/>
      <c r="N1412" s="388"/>
      <c r="O1412" s="388"/>
      <c r="P1412" s="392"/>
      <c r="Q1412" s="394"/>
      <c r="R1412" s="392"/>
      <c r="S1412" s="395"/>
      <c r="T1412" s="396"/>
      <c r="U1412" s="396"/>
      <c r="V1412" s="396"/>
      <c r="W1412" s="396"/>
      <c r="X1412" s="397"/>
      <c r="Y1412" s="339"/>
      <c r="Z1412" s="339"/>
      <c r="AA1412" s="339"/>
    </row>
    <row r="1413" spans="7:27" ht="14.25">
      <c r="G1413" s="387"/>
      <c r="H1413" s="549"/>
      <c r="I1413" s="387"/>
      <c r="J1413" s="550"/>
      <c r="K1413" s="551"/>
      <c r="L1413" s="551"/>
      <c r="M1413" s="551"/>
      <c r="N1413" s="387"/>
      <c r="O1413" s="387"/>
      <c r="P1413" s="551"/>
      <c r="Q1413" s="394"/>
      <c r="R1413" s="551"/>
      <c r="S1413" s="395"/>
      <c r="T1413" s="395"/>
      <c r="U1413" s="395"/>
      <c r="V1413" s="395"/>
      <c r="W1413" s="395"/>
      <c r="X1413" s="622"/>
      <c r="Y1413" s="458"/>
      <c r="Z1413" s="458"/>
      <c r="AA1413" s="458"/>
    </row>
    <row r="1414" spans="7:27" ht="14.25">
      <c r="G1414" s="388"/>
      <c r="H1414" s="389"/>
      <c r="I1414" s="388"/>
      <c r="J1414" s="391"/>
      <c r="K1414" s="392"/>
      <c r="L1414" s="392"/>
      <c r="M1414" s="392"/>
      <c r="N1414" s="388"/>
      <c r="O1414" s="388"/>
      <c r="P1414" s="392"/>
      <c r="Q1414" s="394"/>
      <c r="R1414" s="392"/>
      <c r="S1414" s="395"/>
      <c r="T1414" s="396"/>
      <c r="U1414" s="396"/>
      <c r="V1414" s="396"/>
      <c r="W1414" s="396"/>
      <c r="X1414" s="397"/>
      <c r="Y1414" s="339"/>
      <c r="Z1414" s="339"/>
      <c r="AA1414" s="339"/>
    </row>
    <row r="1415" spans="7:27" ht="14.25">
      <c r="G1415" s="387"/>
      <c r="H1415" s="549"/>
      <c r="I1415" s="387"/>
      <c r="J1415" s="550"/>
      <c r="K1415" s="551"/>
      <c r="L1415" s="551"/>
      <c r="M1415" s="551"/>
      <c r="N1415" s="387"/>
      <c r="O1415" s="387"/>
      <c r="P1415" s="551"/>
      <c r="Q1415" s="394"/>
      <c r="R1415" s="551"/>
      <c r="S1415" s="395"/>
      <c r="T1415" s="395"/>
      <c r="U1415" s="395"/>
      <c r="V1415" s="395"/>
      <c r="W1415" s="395"/>
      <c r="X1415" s="622"/>
      <c r="Y1415" s="458"/>
      <c r="Z1415" s="458"/>
      <c r="AA1415" s="458"/>
    </row>
    <row r="1416" spans="7:27" ht="14.25">
      <c r="G1416" s="387"/>
      <c r="H1416" s="549"/>
      <c r="I1416" s="387"/>
      <c r="J1416" s="550"/>
      <c r="K1416" s="551"/>
      <c r="L1416" s="551"/>
      <c r="M1416" s="551"/>
      <c r="N1416" s="387"/>
      <c r="O1416" s="387"/>
      <c r="P1416" s="551"/>
      <c r="Q1416" s="394"/>
      <c r="R1416" s="551"/>
      <c r="S1416" s="395"/>
      <c r="T1416" s="395"/>
      <c r="U1416" s="395"/>
      <c r="V1416" s="395"/>
      <c r="W1416" s="395"/>
      <c r="X1416" s="622"/>
      <c r="Y1416" s="458"/>
      <c r="Z1416" s="458"/>
      <c r="AA1416" s="458"/>
    </row>
    <row r="1417" spans="7:27" ht="14.25">
      <c r="G1417" s="387"/>
      <c r="H1417" s="549"/>
      <c r="I1417" s="387"/>
      <c r="J1417" s="550"/>
      <c r="K1417" s="551"/>
      <c r="L1417" s="551"/>
      <c r="M1417" s="551"/>
      <c r="N1417" s="387"/>
      <c r="O1417" s="387"/>
      <c r="P1417" s="551"/>
      <c r="Q1417" s="394"/>
      <c r="R1417" s="551"/>
      <c r="S1417" s="395"/>
      <c r="T1417" s="395"/>
      <c r="U1417" s="395"/>
      <c r="V1417" s="395"/>
      <c r="W1417" s="395"/>
      <c r="X1417" s="622"/>
      <c r="Y1417" s="458"/>
      <c r="Z1417" s="458"/>
      <c r="AA1417" s="458"/>
    </row>
    <row r="1418" spans="7:27" ht="14.25">
      <c r="G1418" s="388"/>
      <c r="H1418" s="389"/>
      <c r="I1418" s="388"/>
      <c r="J1418" s="391"/>
      <c r="K1418" s="392"/>
      <c r="L1418" s="392"/>
      <c r="M1418" s="392"/>
      <c r="N1418" s="388"/>
      <c r="O1418" s="388"/>
      <c r="P1418" s="392"/>
      <c r="Q1418" s="394"/>
      <c r="R1418" s="392"/>
      <c r="S1418" s="395"/>
      <c r="T1418" s="396"/>
      <c r="U1418" s="396"/>
      <c r="V1418" s="396"/>
      <c r="W1418" s="396"/>
      <c r="X1418" s="397"/>
      <c r="Y1418" s="339"/>
      <c r="Z1418" s="339"/>
      <c r="AA1418" s="339"/>
    </row>
    <row r="1419" spans="7:27" ht="14.25">
      <c r="G1419" s="387"/>
      <c r="H1419" s="549"/>
      <c r="I1419" s="387"/>
      <c r="J1419" s="550"/>
      <c r="K1419" s="551"/>
      <c r="L1419" s="551"/>
      <c r="M1419" s="551"/>
      <c r="N1419" s="387"/>
      <c r="O1419" s="387"/>
      <c r="P1419" s="551"/>
      <c r="Q1419" s="394"/>
      <c r="R1419" s="551"/>
      <c r="S1419" s="395"/>
      <c r="T1419" s="395"/>
      <c r="U1419" s="395"/>
      <c r="V1419" s="395"/>
      <c r="W1419" s="395"/>
      <c r="X1419" s="622"/>
      <c r="Y1419" s="458"/>
      <c r="Z1419" s="458"/>
      <c r="AA1419" s="458"/>
    </row>
    <row r="1420" spans="7:27" ht="14.25">
      <c r="G1420" s="388"/>
      <c r="H1420" s="389"/>
      <c r="I1420" s="388"/>
      <c r="J1420" s="391"/>
      <c r="K1420" s="392"/>
      <c r="L1420" s="392"/>
      <c r="M1420" s="392"/>
      <c r="N1420" s="388"/>
      <c r="O1420" s="388"/>
      <c r="P1420" s="392"/>
      <c r="Q1420" s="394"/>
      <c r="R1420" s="392"/>
      <c r="S1420" s="395"/>
      <c r="T1420" s="396"/>
      <c r="U1420" s="396"/>
      <c r="V1420" s="396"/>
      <c r="W1420" s="396"/>
      <c r="X1420" s="397"/>
      <c r="Y1420" s="339"/>
      <c r="Z1420" s="339"/>
      <c r="AA1420" s="339"/>
    </row>
    <row r="1421" spans="7:27" ht="14.25">
      <c r="G1421" s="387"/>
      <c r="H1421" s="549"/>
      <c r="I1421" s="387"/>
      <c r="J1421" s="550"/>
      <c r="K1421" s="551"/>
      <c r="L1421" s="551"/>
      <c r="M1421" s="551"/>
      <c r="N1421" s="387"/>
      <c r="O1421" s="387"/>
      <c r="P1421" s="551"/>
      <c r="Q1421" s="394"/>
      <c r="R1421" s="551"/>
      <c r="S1421" s="395"/>
      <c r="T1421" s="395"/>
      <c r="U1421" s="395"/>
      <c r="V1421" s="395"/>
      <c r="W1421" s="395"/>
      <c r="X1421" s="622"/>
      <c r="Y1421" s="458"/>
      <c r="Z1421" s="458"/>
      <c r="AA1421" s="458"/>
    </row>
    <row r="1422" spans="7:27" ht="14.25">
      <c r="G1422" s="388"/>
      <c r="H1422" s="389"/>
      <c r="I1422" s="388"/>
      <c r="J1422" s="391"/>
      <c r="K1422" s="392"/>
      <c r="L1422" s="392"/>
      <c r="M1422" s="392"/>
      <c r="N1422" s="388"/>
      <c r="O1422" s="388"/>
      <c r="P1422" s="392"/>
      <c r="Q1422" s="394"/>
      <c r="R1422" s="392"/>
      <c r="S1422" s="395"/>
      <c r="T1422" s="396"/>
      <c r="U1422" s="396"/>
      <c r="V1422" s="396"/>
      <c r="W1422" s="396"/>
      <c r="X1422" s="397"/>
      <c r="Y1422" s="339"/>
      <c r="Z1422" s="339"/>
      <c r="AA1422" s="339"/>
    </row>
    <row r="1423" spans="7:27" ht="14.25">
      <c r="G1423" s="387"/>
      <c r="H1423" s="549"/>
      <c r="I1423" s="387"/>
      <c r="J1423" s="550"/>
      <c r="K1423" s="551"/>
      <c r="L1423" s="551"/>
      <c r="M1423" s="551"/>
      <c r="N1423" s="387"/>
      <c r="O1423" s="387"/>
      <c r="P1423" s="551"/>
      <c r="Q1423" s="394"/>
      <c r="R1423" s="551"/>
      <c r="S1423" s="395"/>
      <c r="T1423" s="395"/>
      <c r="U1423" s="395"/>
      <c r="V1423" s="395"/>
      <c r="W1423" s="395"/>
      <c r="X1423" s="622"/>
      <c r="Y1423" s="458"/>
      <c r="Z1423" s="458"/>
      <c r="AA1423" s="458"/>
    </row>
    <row r="1424" spans="7:27" ht="14.25">
      <c r="G1424" s="388"/>
      <c r="H1424" s="389"/>
      <c r="I1424" s="388"/>
      <c r="J1424" s="391"/>
      <c r="K1424" s="392"/>
      <c r="L1424" s="392"/>
      <c r="M1424" s="392"/>
      <c r="N1424" s="388"/>
      <c r="O1424" s="388"/>
      <c r="P1424" s="392"/>
      <c r="Q1424" s="394"/>
      <c r="R1424" s="392"/>
      <c r="S1424" s="395"/>
      <c r="T1424" s="396"/>
      <c r="U1424" s="396"/>
      <c r="V1424" s="396"/>
      <c r="W1424" s="396"/>
      <c r="X1424" s="397"/>
      <c r="Y1424" s="339"/>
      <c r="Z1424" s="339"/>
      <c r="AA1424" s="339"/>
    </row>
    <row r="1425" spans="7:27" ht="14.25">
      <c r="G1425" s="387"/>
      <c r="H1425" s="549"/>
      <c r="I1425" s="387"/>
      <c r="J1425" s="550"/>
      <c r="K1425" s="551"/>
      <c r="L1425" s="551"/>
      <c r="M1425" s="551"/>
      <c r="N1425" s="387"/>
      <c r="O1425" s="387"/>
      <c r="P1425" s="551"/>
      <c r="Q1425" s="394"/>
      <c r="R1425" s="551"/>
      <c r="S1425" s="395"/>
      <c r="T1425" s="395"/>
      <c r="U1425" s="395"/>
      <c r="V1425" s="395"/>
      <c r="W1425" s="395"/>
      <c r="X1425" s="622"/>
      <c r="Y1425" s="458"/>
      <c r="Z1425" s="458"/>
      <c r="AA1425" s="458"/>
    </row>
    <row r="1426" spans="7:27" ht="14.25">
      <c r="G1426" s="388"/>
      <c r="H1426" s="389"/>
      <c r="I1426" s="388"/>
      <c r="J1426" s="391"/>
      <c r="K1426" s="392"/>
      <c r="L1426" s="392"/>
      <c r="M1426" s="392"/>
      <c r="N1426" s="388"/>
      <c r="O1426" s="388"/>
      <c r="P1426" s="392"/>
      <c r="Q1426" s="394"/>
      <c r="R1426" s="392"/>
      <c r="S1426" s="395"/>
      <c r="T1426" s="396"/>
      <c r="U1426" s="396"/>
      <c r="V1426" s="396"/>
      <c r="W1426" s="396"/>
      <c r="X1426" s="397"/>
      <c r="Y1426" s="339"/>
      <c r="Z1426" s="339"/>
      <c r="AA1426" s="339"/>
    </row>
    <row r="1427" spans="7:27" ht="14.25">
      <c r="G1427" s="387"/>
      <c r="H1427" s="549"/>
      <c r="I1427" s="387"/>
      <c r="J1427" s="550"/>
      <c r="K1427" s="551"/>
      <c r="L1427" s="551"/>
      <c r="M1427" s="551"/>
      <c r="N1427" s="387"/>
      <c r="O1427" s="387"/>
      <c r="P1427" s="551"/>
      <c r="Q1427" s="394"/>
      <c r="R1427" s="551"/>
      <c r="S1427" s="395"/>
      <c r="T1427" s="395"/>
      <c r="U1427" s="395"/>
      <c r="V1427" s="395"/>
      <c r="W1427" s="395"/>
      <c r="X1427" s="622"/>
      <c r="Y1427" s="458"/>
      <c r="Z1427" s="458"/>
      <c r="AA1427" s="458"/>
    </row>
    <row r="1428" spans="7:27" ht="14.25">
      <c r="G1428" s="388"/>
      <c r="H1428" s="389"/>
      <c r="I1428" s="388"/>
      <c r="J1428" s="391"/>
      <c r="K1428" s="392"/>
      <c r="L1428" s="392"/>
      <c r="M1428" s="392"/>
      <c r="N1428" s="388"/>
      <c r="O1428" s="388"/>
      <c r="P1428" s="392"/>
      <c r="Q1428" s="394"/>
      <c r="R1428" s="392"/>
      <c r="S1428" s="395"/>
      <c r="T1428" s="396"/>
      <c r="U1428" s="396"/>
      <c r="V1428" s="396"/>
      <c r="W1428" s="396"/>
      <c r="X1428" s="397"/>
      <c r="Y1428" s="339"/>
      <c r="Z1428" s="339"/>
      <c r="AA1428" s="339"/>
    </row>
    <row r="1429" spans="7:27" ht="14.25">
      <c r="G1429" s="387"/>
      <c r="H1429" s="549"/>
      <c r="I1429" s="387"/>
      <c r="J1429" s="550"/>
      <c r="K1429" s="551"/>
      <c r="L1429" s="551"/>
      <c r="M1429" s="551"/>
      <c r="N1429" s="387"/>
      <c r="O1429" s="387"/>
      <c r="P1429" s="551"/>
      <c r="Q1429" s="394"/>
      <c r="R1429" s="551"/>
      <c r="S1429" s="395"/>
      <c r="T1429" s="395"/>
      <c r="U1429" s="395"/>
      <c r="V1429" s="395"/>
      <c r="W1429" s="395"/>
      <c r="X1429" s="622"/>
      <c r="Y1429" s="458"/>
      <c r="Z1429" s="458"/>
      <c r="AA1429" s="458"/>
    </row>
    <row r="1430" spans="7:27" ht="14.25">
      <c r="G1430" s="388"/>
      <c r="H1430" s="389"/>
      <c r="I1430" s="388"/>
      <c r="J1430" s="391"/>
      <c r="K1430" s="392"/>
      <c r="L1430" s="392"/>
      <c r="M1430" s="392"/>
      <c r="N1430" s="388"/>
      <c r="O1430" s="388"/>
      <c r="P1430" s="392"/>
      <c r="Q1430" s="394"/>
      <c r="R1430" s="392"/>
      <c r="S1430" s="395"/>
      <c r="T1430" s="396"/>
      <c r="U1430" s="396"/>
      <c r="V1430" s="396"/>
      <c r="W1430" s="396"/>
      <c r="X1430" s="397"/>
      <c r="Y1430" s="339"/>
      <c r="Z1430" s="339"/>
      <c r="AA1430" s="339"/>
    </row>
    <row r="1431" spans="7:27" ht="14.25">
      <c r="G1431" s="387"/>
      <c r="H1431" s="549"/>
      <c r="I1431" s="387"/>
      <c r="J1431" s="550"/>
      <c r="K1431" s="551"/>
      <c r="L1431" s="551"/>
      <c r="M1431" s="551"/>
      <c r="N1431" s="387"/>
      <c r="O1431" s="387"/>
      <c r="P1431" s="551"/>
      <c r="Q1431" s="394"/>
      <c r="R1431" s="551"/>
      <c r="S1431" s="395"/>
      <c r="T1431" s="395"/>
      <c r="U1431" s="395"/>
      <c r="V1431" s="395"/>
      <c r="W1431" s="395"/>
      <c r="X1431" s="622"/>
      <c r="Y1431" s="458"/>
      <c r="Z1431" s="458"/>
      <c r="AA1431" s="458"/>
    </row>
    <row r="1432" spans="7:27" ht="14.25">
      <c r="G1432" s="388"/>
      <c r="H1432" s="389"/>
      <c r="I1432" s="388"/>
      <c r="J1432" s="391"/>
      <c r="K1432" s="392"/>
      <c r="L1432" s="392"/>
      <c r="M1432" s="392"/>
      <c r="N1432" s="388"/>
      <c r="O1432" s="388"/>
      <c r="P1432" s="392"/>
      <c r="Q1432" s="394"/>
      <c r="R1432" s="392"/>
      <c r="S1432" s="395"/>
      <c r="T1432" s="396"/>
      <c r="U1432" s="396"/>
      <c r="V1432" s="396"/>
      <c r="W1432" s="396"/>
      <c r="X1432" s="397"/>
      <c r="Y1432" s="339"/>
      <c r="Z1432" s="339"/>
      <c r="AA1432" s="339"/>
    </row>
    <row r="1433" spans="7:27" ht="14.25">
      <c r="G1433" s="387"/>
      <c r="H1433" s="549"/>
      <c r="I1433" s="387"/>
      <c r="J1433" s="550"/>
      <c r="K1433" s="551"/>
      <c r="L1433" s="551"/>
      <c r="M1433" s="551"/>
      <c r="N1433" s="387"/>
      <c r="O1433" s="387"/>
      <c r="P1433" s="551"/>
      <c r="Q1433" s="394"/>
      <c r="R1433" s="551"/>
      <c r="S1433" s="395"/>
      <c r="T1433" s="395"/>
      <c r="U1433" s="395"/>
      <c r="V1433" s="395"/>
      <c r="W1433" s="395"/>
      <c r="X1433" s="622"/>
      <c r="Y1433" s="458"/>
      <c r="Z1433" s="458"/>
      <c r="AA1433" s="458"/>
    </row>
    <row r="1434" spans="7:27" ht="14.25">
      <c r="G1434" s="388"/>
      <c r="H1434" s="389"/>
      <c r="I1434" s="388"/>
      <c r="J1434" s="391"/>
      <c r="K1434" s="392"/>
      <c r="L1434" s="392"/>
      <c r="M1434" s="392"/>
      <c r="N1434" s="388"/>
      <c r="O1434" s="388"/>
      <c r="P1434" s="392"/>
      <c r="Q1434" s="394"/>
      <c r="R1434" s="392"/>
      <c r="S1434" s="395"/>
      <c r="T1434" s="396"/>
      <c r="U1434" s="396"/>
      <c r="V1434" s="396"/>
      <c r="W1434" s="396"/>
      <c r="X1434" s="397"/>
      <c r="Y1434" s="339"/>
      <c r="Z1434" s="339"/>
      <c r="AA1434" s="339"/>
    </row>
    <row r="1435" spans="7:27" ht="14.25">
      <c r="G1435" s="387"/>
      <c r="H1435" s="549"/>
      <c r="I1435" s="387"/>
      <c r="J1435" s="550"/>
      <c r="K1435" s="551"/>
      <c r="L1435" s="551"/>
      <c r="M1435" s="551"/>
      <c r="N1435" s="387"/>
      <c r="O1435" s="387"/>
      <c r="P1435" s="551"/>
      <c r="Q1435" s="394"/>
      <c r="R1435" s="551"/>
      <c r="S1435" s="395"/>
      <c r="T1435" s="395"/>
      <c r="U1435" s="395"/>
      <c r="V1435" s="395"/>
      <c r="W1435" s="395"/>
      <c r="X1435" s="622"/>
      <c r="Y1435" s="458"/>
      <c r="Z1435" s="458"/>
      <c r="AA1435" s="458"/>
    </row>
    <row r="1436" spans="7:27" ht="14.25">
      <c r="G1436" s="388"/>
      <c r="H1436" s="389"/>
      <c r="I1436" s="388"/>
      <c r="J1436" s="391"/>
      <c r="K1436" s="392"/>
      <c r="L1436" s="392"/>
      <c r="M1436" s="392"/>
      <c r="N1436" s="388"/>
      <c r="O1436" s="388"/>
      <c r="P1436" s="392"/>
      <c r="Q1436" s="394"/>
      <c r="R1436" s="392"/>
      <c r="S1436" s="395"/>
      <c r="T1436" s="396"/>
      <c r="U1436" s="396"/>
      <c r="V1436" s="396"/>
      <c r="W1436" s="396"/>
      <c r="X1436" s="397"/>
      <c r="Y1436" s="339"/>
      <c r="Z1436" s="339"/>
      <c r="AA1436" s="339"/>
    </row>
    <row r="1437" spans="7:27" ht="14.25">
      <c r="G1437" s="387"/>
      <c r="H1437" s="549"/>
      <c r="I1437" s="387"/>
      <c r="J1437" s="550"/>
      <c r="K1437" s="551"/>
      <c r="L1437" s="551"/>
      <c r="M1437" s="551"/>
      <c r="N1437" s="387"/>
      <c r="O1437" s="387"/>
      <c r="P1437" s="551"/>
      <c r="Q1437" s="394"/>
      <c r="R1437" s="551"/>
      <c r="S1437" s="395"/>
      <c r="T1437" s="395"/>
      <c r="U1437" s="395"/>
      <c r="V1437" s="395"/>
      <c r="W1437" s="395"/>
      <c r="X1437" s="622"/>
      <c r="Y1437" s="458"/>
      <c r="Z1437" s="458"/>
      <c r="AA1437" s="458"/>
    </row>
    <row r="1438" spans="7:27" ht="14.25">
      <c r="G1438" s="388"/>
      <c r="H1438" s="389"/>
      <c r="I1438" s="388"/>
      <c r="J1438" s="391"/>
      <c r="K1438" s="392"/>
      <c r="L1438" s="392"/>
      <c r="M1438" s="392"/>
      <c r="N1438" s="388"/>
      <c r="O1438" s="388"/>
      <c r="P1438" s="392"/>
      <c r="Q1438" s="394"/>
      <c r="R1438" s="392"/>
      <c r="S1438" s="395"/>
      <c r="T1438" s="396"/>
      <c r="U1438" s="396"/>
      <c r="V1438" s="396"/>
      <c r="W1438" s="396"/>
      <c r="X1438" s="397"/>
      <c r="Y1438" s="339"/>
      <c r="Z1438" s="339"/>
      <c r="AA1438" s="339"/>
    </row>
    <row r="1439" spans="7:27" ht="14.25">
      <c r="G1439" s="387"/>
      <c r="H1439" s="549"/>
      <c r="I1439" s="387"/>
      <c r="J1439" s="550"/>
      <c r="K1439" s="551"/>
      <c r="L1439" s="551"/>
      <c r="M1439" s="551"/>
      <c r="N1439" s="387"/>
      <c r="O1439" s="387"/>
      <c r="P1439" s="551"/>
      <c r="Q1439" s="394"/>
      <c r="R1439" s="551"/>
      <c r="S1439" s="395"/>
      <c r="T1439" s="395"/>
      <c r="U1439" s="395"/>
      <c r="V1439" s="395"/>
      <c r="W1439" s="395"/>
      <c r="X1439" s="622"/>
      <c r="Y1439" s="458"/>
      <c r="Z1439" s="458"/>
      <c r="AA1439" s="458"/>
    </row>
    <row r="1440" spans="7:27" ht="14.25">
      <c r="G1440" s="388"/>
      <c r="H1440" s="389"/>
      <c r="I1440" s="388"/>
      <c r="J1440" s="391"/>
      <c r="K1440" s="392"/>
      <c r="L1440" s="392"/>
      <c r="M1440" s="392"/>
      <c r="N1440" s="388"/>
      <c r="O1440" s="388"/>
      <c r="P1440" s="392"/>
      <c r="Q1440" s="394"/>
      <c r="R1440" s="392"/>
      <c r="S1440" s="395"/>
      <c r="T1440" s="396"/>
      <c r="U1440" s="396"/>
      <c r="V1440" s="396"/>
      <c r="W1440" s="396"/>
      <c r="X1440" s="397"/>
      <c r="Y1440" s="339"/>
      <c r="Z1440" s="339"/>
      <c r="AA1440" s="339"/>
    </row>
    <row r="1441" spans="7:27" ht="14.25">
      <c r="G1441" s="387"/>
      <c r="H1441" s="549"/>
      <c r="I1441" s="387"/>
      <c r="J1441" s="550"/>
      <c r="K1441" s="551"/>
      <c r="L1441" s="551"/>
      <c r="M1441" s="551"/>
      <c r="N1441" s="387"/>
      <c r="O1441" s="387"/>
      <c r="P1441" s="551"/>
      <c r="Q1441" s="394"/>
      <c r="R1441" s="551"/>
      <c r="S1441" s="395"/>
      <c r="T1441" s="395"/>
      <c r="U1441" s="395"/>
      <c r="V1441" s="395"/>
      <c r="W1441" s="395"/>
      <c r="X1441" s="622"/>
      <c r="Y1441" s="458"/>
      <c r="Z1441" s="458"/>
      <c r="AA1441" s="458"/>
    </row>
    <row r="1442" spans="7:27" ht="14.25">
      <c r="G1442" s="388"/>
      <c r="H1442" s="389"/>
      <c r="I1442" s="388"/>
      <c r="J1442" s="391"/>
      <c r="K1442" s="392"/>
      <c r="L1442" s="392"/>
      <c r="M1442" s="392"/>
      <c r="N1442" s="388"/>
      <c r="O1442" s="388"/>
      <c r="P1442" s="392"/>
      <c r="Q1442" s="394"/>
      <c r="R1442" s="392"/>
      <c r="S1442" s="395"/>
      <c r="T1442" s="396"/>
      <c r="U1442" s="396"/>
      <c r="V1442" s="396"/>
      <c r="W1442" s="396"/>
      <c r="X1442" s="397"/>
      <c r="Y1442" s="339"/>
      <c r="Z1442" s="339"/>
      <c r="AA1442" s="339"/>
    </row>
    <row r="1443" spans="7:27" ht="14.25">
      <c r="G1443" s="387"/>
      <c r="H1443" s="549"/>
      <c r="I1443" s="387"/>
      <c r="J1443" s="550"/>
      <c r="K1443" s="551"/>
      <c r="L1443" s="551"/>
      <c r="M1443" s="551"/>
      <c r="N1443" s="387"/>
      <c r="O1443" s="387"/>
      <c r="P1443" s="551"/>
      <c r="Q1443" s="394"/>
      <c r="R1443" s="551"/>
      <c r="S1443" s="395"/>
      <c r="T1443" s="395"/>
      <c r="U1443" s="395"/>
      <c r="V1443" s="395"/>
      <c r="W1443" s="395"/>
      <c r="X1443" s="622"/>
      <c r="Y1443" s="458"/>
      <c r="Z1443" s="458"/>
      <c r="AA1443" s="458"/>
    </row>
    <row r="1444" spans="7:27" ht="14.25">
      <c r="G1444" s="388"/>
      <c r="H1444" s="389"/>
      <c r="I1444" s="388"/>
      <c r="J1444" s="391"/>
      <c r="K1444" s="392"/>
      <c r="L1444" s="392"/>
      <c r="M1444" s="392"/>
      <c r="N1444" s="388"/>
      <c r="O1444" s="388"/>
      <c r="P1444" s="392"/>
      <c r="Q1444" s="394"/>
      <c r="R1444" s="392"/>
      <c r="S1444" s="395"/>
      <c r="T1444" s="396"/>
      <c r="U1444" s="396"/>
      <c r="V1444" s="396"/>
      <c r="W1444" s="396"/>
      <c r="X1444" s="397"/>
      <c r="Y1444" s="339"/>
      <c r="Z1444" s="339"/>
      <c r="AA1444" s="339"/>
    </row>
    <row r="1445" spans="7:27" ht="14.25">
      <c r="G1445" s="387"/>
      <c r="H1445" s="549"/>
      <c r="I1445" s="387"/>
      <c r="J1445" s="550"/>
      <c r="K1445" s="551"/>
      <c r="L1445" s="551"/>
      <c r="M1445" s="551"/>
      <c r="N1445" s="387"/>
      <c r="O1445" s="387"/>
      <c r="P1445" s="551"/>
      <c r="Q1445" s="394"/>
      <c r="R1445" s="551"/>
      <c r="S1445" s="395"/>
      <c r="T1445" s="395"/>
      <c r="U1445" s="395"/>
      <c r="V1445" s="395"/>
      <c r="W1445" s="395"/>
      <c r="X1445" s="622"/>
      <c r="Y1445" s="458"/>
      <c r="Z1445" s="458"/>
      <c r="AA1445" s="458"/>
    </row>
    <row r="1446" spans="7:27" ht="14.25">
      <c r="G1446" s="388"/>
      <c r="H1446" s="389"/>
      <c r="I1446" s="388"/>
      <c r="J1446" s="391"/>
      <c r="K1446" s="392"/>
      <c r="L1446" s="392"/>
      <c r="M1446" s="392"/>
      <c r="N1446" s="388"/>
      <c r="O1446" s="388"/>
      <c r="P1446" s="392"/>
      <c r="Q1446" s="394"/>
      <c r="R1446" s="392"/>
      <c r="S1446" s="395"/>
      <c r="T1446" s="396"/>
      <c r="U1446" s="396"/>
      <c r="V1446" s="396"/>
      <c r="W1446" s="396"/>
      <c r="X1446" s="397"/>
      <c r="Y1446" s="339"/>
      <c r="Z1446" s="339"/>
      <c r="AA1446" s="339"/>
    </row>
    <row r="1447" spans="7:27" ht="14.25">
      <c r="G1447" s="387"/>
      <c r="H1447" s="549"/>
      <c r="I1447" s="387"/>
      <c r="J1447" s="550"/>
      <c r="K1447" s="551"/>
      <c r="L1447" s="551"/>
      <c r="M1447" s="551"/>
      <c r="N1447" s="387"/>
      <c r="O1447" s="387"/>
      <c r="P1447" s="551"/>
      <c r="Q1447" s="394"/>
      <c r="R1447" s="551"/>
      <c r="S1447" s="395"/>
      <c r="T1447" s="395"/>
      <c r="U1447" s="395"/>
      <c r="V1447" s="395"/>
      <c r="W1447" s="395"/>
      <c r="X1447" s="622"/>
      <c r="Y1447" s="458"/>
      <c r="Z1447" s="458"/>
      <c r="AA1447" s="458"/>
    </row>
    <row r="1448" spans="7:27" ht="14.25">
      <c r="G1448" s="388"/>
      <c r="H1448" s="389"/>
      <c r="I1448" s="388"/>
      <c r="J1448" s="391"/>
      <c r="K1448" s="392"/>
      <c r="L1448" s="392"/>
      <c r="M1448" s="392"/>
      <c r="N1448" s="388"/>
      <c r="O1448" s="388"/>
      <c r="P1448" s="392"/>
      <c r="Q1448" s="394"/>
      <c r="R1448" s="392"/>
      <c r="S1448" s="395"/>
      <c r="T1448" s="396"/>
      <c r="U1448" s="396"/>
      <c r="V1448" s="396"/>
      <c r="W1448" s="396"/>
      <c r="X1448" s="397"/>
      <c r="Y1448" s="339"/>
      <c r="Z1448" s="339"/>
      <c r="AA1448" s="339"/>
    </row>
    <row r="1449" spans="7:27" ht="14.25">
      <c r="G1449" s="387"/>
      <c r="H1449" s="549"/>
      <c r="I1449" s="387"/>
      <c r="J1449" s="550"/>
      <c r="K1449" s="551"/>
      <c r="L1449" s="551"/>
      <c r="M1449" s="551"/>
      <c r="N1449" s="387"/>
      <c r="O1449" s="387"/>
      <c r="P1449" s="551"/>
      <c r="Q1449" s="394"/>
      <c r="R1449" s="551"/>
      <c r="S1449" s="395"/>
      <c r="T1449" s="395"/>
      <c r="U1449" s="395"/>
      <c r="V1449" s="395"/>
      <c r="W1449" s="395"/>
      <c r="X1449" s="622"/>
      <c r="Y1449" s="458"/>
      <c r="Z1449" s="458"/>
      <c r="AA1449" s="458"/>
    </row>
    <row r="1450" spans="7:27" ht="14.25">
      <c r="G1450" s="388"/>
      <c r="H1450" s="389"/>
      <c r="I1450" s="388"/>
      <c r="J1450" s="391"/>
      <c r="K1450" s="392"/>
      <c r="L1450" s="392"/>
      <c r="M1450" s="392"/>
      <c r="N1450" s="388"/>
      <c r="O1450" s="388"/>
      <c r="P1450" s="392"/>
      <c r="Q1450" s="394"/>
      <c r="R1450" s="392"/>
      <c r="S1450" s="395"/>
      <c r="T1450" s="396"/>
      <c r="U1450" s="396"/>
      <c r="V1450" s="396"/>
      <c r="W1450" s="396"/>
      <c r="X1450" s="397"/>
      <c r="Y1450" s="339"/>
      <c r="Z1450" s="339"/>
      <c r="AA1450" s="339"/>
    </row>
    <row r="1451" spans="7:27" ht="14.25">
      <c r="G1451" s="387"/>
      <c r="H1451" s="549"/>
      <c r="I1451" s="387"/>
      <c r="J1451" s="550"/>
      <c r="K1451" s="551"/>
      <c r="L1451" s="551"/>
      <c r="M1451" s="551"/>
      <c r="N1451" s="387"/>
      <c r="O1451" s="387"/>
      <c r="P1451" s="551"/>
      <c r="Q1451" s="394"/>
      <c r="R1451" s="551"/>
      <c r="S1451" s="395"/>
      <c r="T1451" s="395"/>
      <c r="U1451" s="395"/>
      <c r="V1451" s="395"/>
      <c r="W1451" s="395"/>
      <c r="X1451" s="622"/>
      <c r="Y1451" s="458"/>
      <c r="Z1451" s="458"/>
      <c r="AA1451" s="458"/>
    </row>
    <row r="1452" spans="7:27" ht="14.25">
      <c r="G1452" s="388"/>
      <c r="H1452" s="389"/>
      <c r="I1452" s="388"/>
      <c r="J1452" s="391"/>
      <c r="K1452" s="392"/>
      <c r="L1452" s="392"/>
      <c r="M1452" s="392"/>
      <c r="N1452" s="388"/>
      <c r="O1452" s="388"/>
      <c r="P1452" s="392"/>
      <c r="Q1452" s="394"/>
      <c r="R1452" s="392"/>
      <c r="S1452" s="395"/>
      <c r="T1452" s="396"/>
      <c r="U1452" s="396"/>
      <c r="V1452" s="396"/>
      <c r="W1452" s="396"/>
      <c r="X1452" s="397"/>
      <c r="Y1452" s="339"/>
      <c r="Z1452" s="339"/>
      <c r="AA1452" s="339"/>
    </row>
    <row r="1453" spans="7:27" ht="14.25">
      <c r="G1453" s="387"/>
      <c r="H1453" s="549"/>
      <c r="I1453" s="387"/>
      <c r="J1453" s="550"/>
      <c r="K1453" s="551"/>
      <c r="L1453" s="551"/>
      <c r="M1453" s="551"/>
      <c r="N1453" s="387"/>
      <c r="O1453" s="387"/>
      <c r="P1453" s="551"/>
      <c r="Q1453" s="394"/>
      <c r="R1453" s="551"/>
      <c r="S1453" s="395"/>
      <c r="T1453" s="395"/>
      <c r="U1453" s="395"/>
      <c r="V1453" s="395"/>
      <c r="W1453" s="395"/>
      <c r="X1453" s="622"/>
      <c r="Y1453" s="458"/>
      <c r="Z1453" s="458"/>
      <c r="AA1453" s="458"/>
    </row>
    <row r="1454" spans="7:27" ht="14.25">
      <c r="G1454" s="388"/>
      <c r="H1454" s="389"/>
      <c r="I1454" s="388"/>
      <c r="J1454" s="391"/>
      <c r="K1454" s="392"/>
      <c r="L1454" s="392"/>
      <c r="M1454" s="392"/>
      <c r="N1454" s="388"/>
      <c r="O1454" s="388"/>
      <c r="P1454" s="392"/>
      <c r="Q1454" s="394"/>
      <c r="R1454" s="392"/>
      <c r="S1454" s="395"/>
      <c r="T1454" s="396"/>
      <c r="U1454" s="396"/>
      <c r="V1454" s="396"/>
      <c r="W1454" s="396"/>
      <c r="X1454" s="397"/>
      <c r="Y1454" s="339"/>
      <c r="Z1454" s="339"/>
      <c r="AA1454" s="339"/>
    </row>
    <row r="1455" spans="7:27" ht="14.25">
      <c r="G1455" s="387"/>
      <c r="H1455" s="549"/>
      <c r="I1455" s="387"/>
      <c r="J1455" s="550"/>
      <c r="K1455" s="551"/>
      <c r="L1455" s="551"/>
      <c r="M1455" s="551"/>
      <c r="N1455" s="387"/>
      <c r="O1455" s="387"/>
      <c r="P1455" s="551"/>
      <c r="Q1455" s="394"/>
      <c r="R1455" s="551"/>
      <c r="S1455" s="395"/>
      <c r="T1455" s="395"/>
      <c r="U1455" s="395"/>
      <c r="V1455" s="395"/>
      <c r="W1455" s="395"/>
      <c r="X1455" s="622"/>
      <c r="Y1455" s="458"/>
      <c r="Z1455" s="458"/>
      <c r="AA1455" s="458"/>
    </row>
    <row r="1456" spans="7:27" ht="14.25">
      <c r="G1456" s="388"/>
      <c r="H1456" s="389"/>
      <c r="I1456" s="388"/>
      <c r="J1456" s="391"/>
      <c r="K1456" s="392"/>
      <c r="L1456" s="392"/>
      <c r="M1456" s="392"/>
      <c r="N1456" s="388"/>
      <c r="O1456" s="388"/>
      <c r="P1456" s="392"/>
      <c r="Q1456" s="394"/>
      <c r="R1456" s="392"/>
      <c r="S1456" s="395"/>
      <c r="T1456" s="396"/>
      <c r="U1456" s="396"/>
      <c r="V1456" s="396"/>
      <c r="W1456" s="396"/>
      <c r="X1456" s="397"/>
      <c r="Y1456" s="339"/>
      <c r="Z1456" s="339"/>
      <c r="AA1456" s="339"/>
    </row>
    <row r="1457" spans="7:27" ht="14.25">
      <c r="G1457" s="387"/>
      <c r="H1457" s="549"/>
      <c r="I1457" s="387"/>
      <c r="J1457" s="550"/>
      <c r="K1457" s="551"/>
      <c r="L1457" s="551"/>
      <c r="M1457" s="551"/>
      <c r="N1457" s="387"/>
      <c r="O1457" s="387"/>
      <c r="P1457" s="551"/>
      <c r="Q1457" s="394"/>
      <c r="R1457" s="551"/>
      <c r="S1457" s="395"/>
      <c r="T1457" s="395"/>
      <c r="U1457" s="395"/>
      <c r="V1457" s="395"/>
      <c r="W1457" s="395"/>
      <c r="X1457" s="622"/>
      <c r="Y1457" s="458"/>
      <c r="Z1457" s="458"/>
      <c r="AA1457" s="458"/>
    </row>
    <row r="1458" spans="7:27" ht="14.25">
      <c r="G1458" s="388"/>
      <c r="H1458" s="389"/>
      <c r="I1458" s="388"/>
      <c r="J1458" s="391"/>
      <c r="K1458" s="392"/>
      <c r="L1458" s="392"/>
      <c r="M1458" s="392"/>
      <c r="N1458" s="388"/>
      <c r="O1458" s="388"/>
      <c r="P1458" s="392"/>
      <c r="Q1458" s="394"/>
      <c r="R1458" s="392"/>
      <c r="S1458" s="395"/>
      <c r="T1458" s="396"/>
      <c r="U1458" s="396"/>
      <c r="V1458" s="396"/>
      <c r="W1458" s="396"/>
      <c r="X1458" s="397"/>
      <c r="Y1458" s="339"/>
      <c r="Z1458" s="339"/>
      <c r="AA1458" s="339"/>
    </row>
    <row r="1459" spans="7:27" ht="14.25">
      <c r="G1459" s="387"/>
      <c r="H1459" s="549"/>
      <c r="I1459" s="387"/>
      <c r="J1459" s="550"/>
      <c r="K1459" s="551"/>
      <c r="L1459" s="551"/>
      <c r="M1459" s="551"/>
      <c r="N1459" s="387"/>
      <c r="O1459" s="387"/>
      <c r="P1459" s="551"/>
      <c r="Q1459" s="394"/>
      <c r="R1459" s="551"/>
      <c r="S1459" s="395"/>
      <c r="T1459" s="395"/>
      <c r="U1459" s="395"/>
      <c r="V1459" s="395"/>
      <c r="W1459" s="395"/>
      <c r="X1459" s="622"/>
      <c r="Y1459" s="458"/>
      <c r="Z1459" s="458"/>
      <c r="AA1459" s="458"/>
    </row>
    <row r="1460" spans="7:27" ht="14.25">
      <c r="G1460" s="388"/>
      <c r="H1460" s="389"/>
      <c r="I1460" s="388"/>
      <c r="J1460" s="391"/>
      <c r="K1460" s="392"/>
      <c r="L1460" s="392"/>
      <c r="M1460" s="392"/>
      <c r="N1460" s="388"/>
      <c r="O1460" s="388"/>
      <c r="P1460" s="392"/>
      <c r="Q1460" s="394"/>
      <c r="R1460" s="392"/>
      <c r="S1460" s="395"/>
      <c r="T1460" s="396"/>
      <c r="U1460" s="396"/>
      <c r="V1460" s="396"/>
      <c r="W1460" s="396"/>
      <c r="X1460" s="397"/>
      <c r="Y1460" s="339"/>
      <c r="Z1460" s="339"/>
      <c r="AA1460" s="339"/>
    </row>
    <row r="1461" spans="7:27" ht="14.25">
      <c r="G1461" s="387"/>
      <c r="H1461" s="549"/>
      <c r="I1461" s="387"/>
      <c r="J1461" s="550"/>
      <c r="K1461" s="551"/>
      <c r="L1461" s="551"/>
      <c r="M1461" s="551"/>
      <c r="N1461" s="387"/>
      <c r="O1461" s="387"/>
      <c r="P1461" s="551"/>
      <c r="Q1461" s="394"/>
      <c r="R1461" s="551"/>
      <c r="S1461" s="395"/>
      <c r="T1461" s="395"/>
      <c r="U1461" s="395"/>
      <c r="V1461" s="395"/>
      <c r="W1461" s="395"/>
      <c r="X1461" s="622"/>
      <c r="Y1461" s="458"/>
      <c r="Z1461" s="458"/>
      <c r="AA1461" s="458"/>
    </row>
    <row r="1462" spans="7:27" ht="14.25">
      <c r="G1462" s="388"/>
      <c r="H1462" s="389"/>
      <c r="I1462" s="388"/>
      <c r="J1462" s="391"/>
      <c r="K1462" s="392"/>
      <c r="L1462" s="392"/>
      <c r="M1462" s="392"/>
      <c r="N1462" s="388"/>
      <c r="O1462" s="388"/>
      <c r="P1462" s="392"/>
      <c r="Q1462" s="394"/>
      <c r="R1462" s="392"/>
      <c r="S1462" s="395"/>
      <c r="T1462" s="396"/>
      <c r="U1462" s="396"/>
      <c r="V1462" s="396"/>
      <c r="W1462" s="396"/>
      <c r="X1462" s="397"/>
      <c r="Y1462" s="339"/>
      <c r="Z1462" s="339"/>
      <c r="AA1462" s="339"/>
    </row>
    <row r="1463" spans="7:27" ht="14.25">
      <c r="G1463" s="387"/>
      <c r="H1463" s="549"/>
      <c r="I1463" s="387"/>
      <c r="J1463" s="550"/>
      <c r="K1463" s="551"/>
      <c r="L1463" s="551"/>
      <c r="M1463" s="551"/>
      <c r="N1463" s="387"/>
      <c r="O1463" s="387"/>
      <c r="P1463" s="551"/>
      <c r="Q1463" s="394"/>
      <c r="R1463" s="551"/>
      <c r="S1463" s="395"/>
      <c r="T1463" s="395"/>
      <c r="U1463" s="395"/>
      <c r="V1463" s="395"/>
      <c r="W1463" s="395"/>
      <c r="X1463" s="622"/>
      <c r="Y1463" s="458"/>
      <c r="Z1463" s="458"/>
      <c r="AA1463" s="458"/>
    </row>
    <row r="1464" spans="7:27" ht="14.25">
      <c r="G1464" s="388"/>
      <c r="H1464" s="389"/>
      <c r="I1464" s="388"/>
      <c r="J1464" s="391"/>
      <c r="K1464" s="392"/>
      <c r="L1464" s="392"/>
      <c r="M1464" s="392"/>
      <c r="N1464" s="388"/>
      <c r="O1464" s="388"/>
      <c r="P1464" s="392"/>
      <c r="Q1464" s="394"/>
      <c r="R1464" s="392"/>
      <c r="S1464" s="395"/>
      <c r="T1464" s="396"/>
      <c r="U1464" s="396"/>
      <c r="V1464" s="396"/>
      <c r="W1464" s="396"/>
      <c r="X1464" s="397"/>
      <c r="Y1464" s="339"/>
      <c r="Z1464" s="339"/>
      <c r="AA1464" s="339"/>
    </row>
    <row r="1465" spans="7:27" ht="14.25">
      <c r="G1465" s="387"/>
      <c r="H1465" s="549"/>
      <c r="I1465" s="387"/>
      <c r="J1465" s="550"/>
      <c r="K1465" s="551"/>
      <c r="L1465" s="551"/>
      <c r="M1465" s="551"/>
      <c r="N1465" s="387"/>
      <c r="O1465" s="387"/>
      <c r="P1465" s="551"/>
      <c r="Q1465" s="394"/>
      <c r="R1465" s="551"/>
      <c r="S1465" s="395"/>
      <c r="T1465" s="395"/>
      <c r="U1465" s="395"/>
      <c r="V1465" s="395"/>
      <c r="W1465" s="395"/>
      <c r="X1465" s="622"/>
      <c r="Y1465" s="458"/>
      <c r="Z1465" s="458"/>
      <c r="AA1465" s="458"/>
    </row>
    <row r="1466" spans="7:27" ht="14.25">
      <c r="G1466" s="388"/>
      <c r="H1466" s="389"/>
      <c r="I1466" s="388"/>
      <c r="J1466" s="391"/>
      <c r="K1466" s="392"/>
      <c r="L1466" s="392"/>
      <c r="M1466" s="392"/>
      <c r="N1466" s="388"/>
      <c r="O1466" s="388"/>
      <c r="P1466" s="392"/>
      <c r="Q1466" s="394"/>
      <c r="R1466" s="392"/>
      <c r="S1466" s="395"/>
      <c r="T1466" s="396"/>
      <c r="U1466" s="396"/>
      <c r="V1466" s="396"/>
      <c r="W1466" s="396"/>
      <c r="X1466" s="397"/>
      <c r="Y1466" s="339"/>
      <c r="Z1466" s="339"/>
      <c r="AA1466" s="339"/>
    </row>
    <row r="1467" spans="7:27" ht="14.25">
      <c r="G1467" s="387"/>
      <c r="H1467" s="549"/>
      <c r="I1467" s="387"/>
      <c r="J1467" s="550"/>
      <c r="K1467" s="551"/>
      <c r="L1467" s="551"/>
      <c r="M1467" s="551"/>
      <c r="N1467" s="387"/>
      <c r="O1467" s="387"/>
      <c r="P1467" s="551"/>
      <c r="Q1467" s="394"/>
      <c r="R1467" s="551"/>
      <c r="S1467" s="395"/>
      <c r="T1467" s="395"/>
      <c r="U1467" s="395"/>
      <c r="V1467" s="395"/>
      <c r="W1467" s="395"/>
      <c r="X1467" s="622"/>
      <c r="Y1467" s="458"/>
      <c r="Z1467" s="458"/>
      <c r="AA1467" s="458"/>
    </row>
    <row r="1468" spans="7:27" ht="14.25">
      <c r="G1468" s="388"/>
      <c r="H1468" s="389"/>
      <c r="I1468" s="388"/>
      <c r="J1468" s="391"/>
      <c r="K1468" s="392"/>
      <c r="L1468" s="392"/>
      <c r="M1468" s="392"/>
      <c r="N1468" s="388"/>
      <c r="O1468" s="388"/>
      <c r="P1468" s="392"/>
      <c r="Q1468" s="394"/>
      <c r="R1468" s="392"/>
      <c r="S1468" s="395"/>
      <c r="T1468" s="396"/>
      <c r="U1468" s="396"/>
      <c r="V1468" s="396"/>
      <c r="W1468" s="396"/>
      <c r="X1468" s="397"/>
      <c r="Y1468" s="339"/>
      <c r="Z1468" s="339"/>
      <c r="AA1468" s="339"/>
    </row>
    <row r="1469" spans="7:27" ht="14.25">
      <c r="G1469" s="387"/>
      <c r="H1469" s="549"/>
      <c r="I1469" s="387"/>
      <c r="J1469" s="550"/>
      <c r="K1469" s="551"/>
      <c r="L1469" s="551"/>
      <c r="M1469" s="551"/>
      <c r="N1469" s="387"/>
      <c r="O1469" s="387"/>
      <c r="P1469" s="551"/>
      <c r="Q1469" s="394"/>
      <c r="R1469" s="551"/>
      <c r="S1469" s="395"/>
      <c r="T1469" s="395"/>
      <c r="U1469" s="395"/>
      <c r="V1469" s="395"/>
      <c r="W1469" s="395"/>
      <c r="X1469" s="622"/>
      <c r="Y1469" s="458"/>
      <c r="Z1469" s="458"/>
      <c r="AA1469" s="458"/>
    </row>
    <row r="1470" spans="7:27" ht="14.25">
      <c r="G1470" s="388"/>
      <c r="H1470" s="389"/>
      <c r="I1470" s="388"/>
      <c r="J1470" s="391"/>
      <c r="K1470" s="392"/>
      <c r="L1470" s="392"/>
      <c r="M1470" s="392"/>
      <c r="N1470" s="388"/>
      <c r="O1470" s="388"/>
      <c r="P1470" s="392"/>
      <c r="Q1470" s="394"/>
      <c r="R1470" s="392"/>
      <c r="S1470" s="395"/>
      <c r="T1470" s="396"/>
      <c r="U1470" s="396"/>
      <c r="V1470" s="396"/>
      <c r="W1470" s="396"/>
      <c r="X1470" s="397"/>
      <c r="Y1470" s="339"/>
      <c r="Z1470" s="339"/>
      <c r="AA1470" s="339"/>
    </row>
    <row r="1471" spans="7:27" ht="14.25">
      <c r="G1471" s="388"/>
      <c r="H1471" s="389"/>
      <c r="I1471" s="388"/>
      <c r="J1471" s="391"/>
      <c r="K1471" s="392"/>
      <c r="L1471" s="392"/>
      <c r="M1471" s="392"/>
      <c r="N1471" s="388"/>
      <c r="O1471" s="388"/>
      <c r="P1471" s="392"/>
      <c r="Q1471" s="394"/>
      <c r="R1471" s="392"/>
      <c r="S1471" s="395"/>
      <c r="T1471" s="396"/>
      <c r="U1471" s="396"/>
      <c r="V1471" s="396"/>
      <c r="W1471" s="396"/>
      <c r="X1471" s="397"/>
      <c r="Y1471" s="339"/>
      <c r="Z1471" s="339"/>
      <c r="AA1471" s="339"/>
    </row>
    <row r="1472" spans="7:27" ht="14.25">
      <c r="G1472" s="388"/>
      <c r="H1472" s="389"/>
      <c r="I1472" s="388"/>
      <c r="J1472" s="391"/>
      <c r="K1472" s="392"/>
      <c r="L1472" s="392"/>
      <c r="M1472" s="392"/>
      <c r="N1472" s="388"/>
      <c r="O1472" s="388"/>
      <c r="P1472" s="392"/>
      <c r="Q1472" s="394"/>
      <c r="R1472" s="392"/>
      <c r="S1472" s="395"/>
      <c r="T1472" s="396"/>
      <c r="U1472" s="396"/>
      <c r="V1472" s="396"/>
      <c r="W1472" s="396"/>
      <c r="X1472" s="397"/>
      <c r="Y1472" s="339"/>
      <c r="Z1472" s="339"/>
      <c r="AA1472" s="339"/>
    </row>
    <row r="1473" spans="7:27" ht="14.25">
      <c r="G1473" s="387"/>
      <c r="H1473" s="549"/>
      <c r="I1473" s="387"/>
      <c r="J1473" s="550"/>
      <c r="K1473" s="551"/>
      <c r="L1473" s="551"/>
      <c r="M1473" s="551"/>
      <c r="N1473" s="387"/>
      <c r="O1473" s="387"/>
      <c r="P1473" s="551"/>
      <c r="Q1473" s="394"/>
      <c r="R1473" s="551"/>
      <c r="S1473" s="395"/>
      <c r="T1473" s="395"/>
      <c r="U1473" s="395"/>
      <c r="V1473" s="395"/>
      <c r="W1473" s="395"/>
      <c r="X1473" s="622"/>
      <c r="Y1473" s="458"/>
      <c r="Z1473" s="458"/>
      <c r="AA1473" s="458"/>
    </row>
    <row r="1474" spans="7:27" ht="14.25">
      <c r="G1474" s="388"/>
      <c r="H1474" s="389"/>
      <c r="I1474" s="388"/>
      <c r="J1474" s="391"/>
      <c r="K1474" s="392"/>
      <c r="L1474" s="392"/>
      <c r="M1474" s="392"/>
      <c r="N1474" s="388"/>
      <c r="O1474" s="388"/>
      <c r="P1474" s="392"/>
      <c r="Q1474" s="394"/>
      <c r="R1474" s="392"/>
      <c r="S1474" s="395"/>
      <c r="T1474" s="396"/>
      <c r="U1474" s="396"/>
      <c r="V1474" s="396"/>
      <c r="W1474" s="396"/>
      <c r="X1474" s="397"/>
      <c r="Y1474" s="339"/>
      <c r="Z1474" s="339"/>
      <c r="AA1474" s="339"/>
    </row>
    <row r="1475" spans="7:27" ht="14.25">
      <c r="G1475" s="387"/>
      <c r="H1475" s="549"/>
      <c r="I1475" s="387"/>
      <c r="J1475" s="550"/>
      <c r="K1475" s="551"/>
      <c r="L1475" s="551"/>
      <c r="M1475" s="551"/>
      <c r="N1475" s="387"/>
      <c r="O1475" s="387"/>
      <c r="P1475" s="551"/>
      <c r="Q1475" s="394"/>
      <c r="R1475" s="551"/>
      <c r="S1475" s="395"/>
      <c r="T1475" s="395"/>
      <c r="U1475" s="395"/>
      <c r="V1475" s="395"/>
      <c r="W1475" s="395"/>
      <c r="X1475" s="622"/>
      <c r="Y1475" s="458"/>
      <c r="Z1475" s="458"/>
      <c r="AA1475" s="458"/>
    </row>
    <row r="1476" spans="7:27" ht="14.25">
      <c r="G1476" s="388"/>
      <c r="H1476" s="389"/>
      <c r="I1476" s="388"/>
      <c r="J1476" s="391"/>
      <c r="K1476" s="392"/>
      <c r="L1476" s="392"/>
      <c r="M1476" s="392"/>
      <c r="N1476" s="388"/>
      <c r="O1476" s="388"/>
      <c r="P1476" s="392"/>
      <c r="Q1476" s="394"/>
      <c r="R1476" s="392"/>
      <c r="S1476" s="395"/>
      <c r="T1476" s="396"/>
      <c r="U1476" s="396"/>
      <c r="V1476" s="396"/>
      <c r="W1476" s="396"/>
      <c r="X1476" s="397"/>
      <c r="Y1476" s="339"/>
      <c r="Z1476" s="339"/>
      <c r="AA1476" s="339"/>
    </row>
    <row r="1477" spans="7:27" ht="14.25">
      <c r="G1477" s="387"/>
      <c r="H1477" s="549"/>
      <c r="I1477" s="387"/>
      <c r="J1477" s="550"/>
      <c r="K1477" s="551"/>
      <c r="L1477" s="551"/>
      <c r="M1477" s="551"/>
      <c r="N1477" s="387"/>
      <c r="O1477" s="387"/>
      <c r="P1477" s="551"/>
      <c r="Q1477" s="394"/>
      <c r="R1477" s="551"/>
      <c r="S1477" s="395"/>
      <c r="T1477" s="395"/>
      <c r="U1477" s="395"/>
      <c r="V1477" s="395"/>
      <c r="W1477" s="395"/>
      <c r="X1477" s="622"/>
      <c r="Y1477" s="458"/>
      <c r="Z1477" s="458"/>
      <c r="AA1477" s="458"/>
    </row>
    <row r="1478" spans="7:27" ht="14.25">
      <c r="G1478" s="388"/>
      <c r="H1478" s="389"/>
      <c r="I1478" s="388"/>
      <c r="J1478" s="391"/>
      <c r="K1478" s="392"/>
      <c r="L1478" s="392"/>
      <c r="M1478" s="392"/>
      <c r="N1478" s="388"/>
      <c r="O1478" s="388"/>
      <c r="P1478" s="392"/>
      <c r="Q1478" s="394"/>
      <c r="R1478" s="392"/>
      <c r="S1478" s="395"/>
      <c r="T1478" s="396"/>
      <c r="U1478" s="396"/>
      <c r="V1478" s="396"/>
      <c r="W1478" s="396"/>
      <c r="X1478" s="397"/>
      <c r="Y1478" s="339"/>
      <c r="Z1478" s="339"/>
      <c r="AA1478" s="339"/>
    </row>
    <row r="1479" spans="7:27" ht="14.25">
      <c r="G1479" s="387"/>
      <c r="H1479" s="549"/>
      <c r="I1479" s="387"/>
      <c r="J1479" s="550"/>
      <c r="K1479" s="551"/>
      <c r="L1479" s="551"/>
      <c r="M1479" s="551"/>
      <c r="N1479" s="387"/>
      <c r="O1479" s="387"/>
      <c r="P1479" s="551"/>
      <c r="Q1479" s="394"/>
      <c r="R1479" s="551"/>
      <c r="S1479" s="395"/>
      <c r="T1479" s="395"/>
      <c r="U1479" s="395"/>
      <c r="V1479" s="395"/>
      <c r="W1479" s="395"/>
      <c r="X1479" s="622"/>
      <c r="Y1479" s="458"/>
      <c r="Z1479" s="458"/>
      <c r="AA1479" s="458"/>
    </row>
    <row r="1480" spans="7:27" ht="14.25">
      <c r="G1480" s="388"/>
      <c r="H1480" s="389"/>
      <c r="I1480" s="388"/>
      <c r="J1480" s="391"/>
      <c r="K1480" s="392"/>
      <c r="L1480" s="392"/>
      <c r="M1480" s="392"/>
      <c r="N1480" s="388"/>
      <c r="O1480" s="388"/>
      <c r="P1480" s="392"/>
      <c r="Q1480" s="394"/>
      <c r="R1480" s="392"/>
      <c r="S1480" s="395"/>
      <c r="T1480" s="396"/>
      <c r="U1480" s="396"/>
      <c r="V1480" s="396"/>
      <c r="W1480" s="396"/>
      <c r="X1480" s="397"/>
      <c r="Y1480" s="339"/>
      <c r="Z1480" s="339"/>
      <c r="AA1480" s="339"/>
    </row>
    <row r="1481" spans="7:27" ht="14.25">
      <c r="G1481" s="387"/>
      <c r="H1481" s="549"/>
      <c r="I1481" s="387"/>
      <c r="J1481" s="550"/>
      <c r="K1481" s="551"/>
      <c r="L1481" s="551"/>
      <c r="M1481" s="551"/>
      <c r="N1481" s="387"/>
      <c r="O1481" s="387"/>
      <c r="P1481" s="551"/>
      <c r="Q1481" s="394"/>
      <c r="R1481" s="551"/>
      <c r="S1481" s="395"/>
      <c r="T1481" s="395"/>
      <c r="U1481" s="395"/>
      <c r="V1481" s="395"/>
      <c r="W1481" s="395"/>
      <c r="X1481" s="622"/>
      <c r="Y1481" s="458"/>
      <c r="Z1481" s="458"/>
      <c r="AA1481" s="458"/>
    </row>
    <row r="1482" spans="7:27" ht="14.25">
      <c r="G1482" s="388"/>
      <c r="H1482" s="389"/>
      <c r="I1482" s="388"/>
      <c r="J1482" s="391"/>
      <c r="K1482" s="392"/>
      <c r="L1482" s="392"/>
      <c r="M1482" s="392"/>
      <c r="N1482" s="388"/>
      <c r="O1482" s="388"/>
      <c r="P1482" s="392"/>
      <c r="Q1482" s="394"/>
      <c r="R1482" s="392"/>
      <c r="S1482" s="395"/>
      <c r="T1482" s="396"/>
      <c r="U1482" s="396"/>
      <c r="V1482" s="396"/>
      <c r="W1482" s="396"/>
      <c r="X1482" s="397"/>
      <c r="Y1482" s="339"/>
      <c r="Z1482" s="339"/>
      <c r="AA1482" s="339"/>
    </row>
    <row r="1483" spans="7:27" ht="14.25">
      <c r="G1483" s="387"/>
      <c r="H1483" s="549"/>
      <c r="I1483" s="387"/>
      <c r="J1483" s="550"/>
      <c r="K1483" s="551"/>
      <c r="L1483" s="551"/>
      <c r="M1483" s="551"/>
      <c r="N1483" s="387"/>
      <c r="O1483" s="387"/>
      <c r="P1483" s="551"/>
      <c r="Q1483" s="394"/>
      <c r="R1483" s="551"/>
      <c r="S1483" s="395"/>
      <c r="T1483" s="395"/>
      <c r="U1483" s="395"/>
      <c r="V1483" s="395"/>
      <c r="W1483" s="395"/>
      <c r="X1483" s="622"/>
      <c r="Y1483" s="458"/>
      <c r="Z1483" s="458"/>
      <c r="AA1483" s="458"/>
    </row>
    <row r="1484" spans="7:27" ht="14.25">
      <c r="G1484" s="388"/>
      <c r="H1484" s="389"/>
      <c r="I1484" s="388"/>
      <c r="J1484" s="391"/>
      <c r="K1484" s="392"/>
      <c r="L1484" s="392"/>
      <c r="M1484" s="392"/>
      <c r="N1484" s="388"/>
      <c r="O1484" s="388"/>
      <c r="P1484" s="392"/>
      <c r="Q1484" s="394"/>
      <c r="R1484" s="392"/>
      <c r="S1484" s="395"/>
      <c r="T1484" s="396"/>
      <c r="U1484" s="396"/>
      <c r="V1484" s="396"/>
      <c r="W1484" s="396"/>
      <c r="X1484" s="397"/>
      <c r="Y1484" s="339"/>
      <c r="Z1484" s="339"/>
      <c r="AA1484" s="339"/>
    </row>
    <row r="1485" spans="7:27" ht="14.25">
      <c r="G1485" s="387"/>
      <c r="H1485" s="549"/>
      <c r="I1485" s="387"/>
      <c r="J1485" s="550"/>
      <c r="K1485" s="551"/>
      <c r="L1485" s="551"/>
      <c r="M1485" s="551"/>
      <c r="N1485" s="387"/>
      <c r="O1485" s="387"/>
      <c r="P1485" s="551"/>
      <c r="Q1485" s="394"/>
      <c r="R1485" s="551"/>
      <c r="S1485" s="395"/>
      <c r="T1485" s="395"/>
      <c r="U1485" s="395"/>
      <c r="V1485" s="395"/>
      <c r="W1485" s="395"/>
      <c r="X1485" s="622"/>
      <c r="Y1485" s="458"/>
      <c r="Z1485" s="458"/>
      <c r="AA1485" s="458"/>
    </row>
    <row r="1486" spans="7:27" ht="14.25">
      <c r="G1486" s="388"/>
      <c r="H1486" s="389"/>
      <c r="I1486" s="388"/>
      <c r="J1486" s="391"/>
      <c r="K1486" s="392"/>
      <c r="L1486" s="392"/>
      <c r="M1486" s="392"/>
      <c r="N1486" s="388"/>
      <c r="O1486" s="388"/>
      <c r="P1486" s="392"/>
      <c r="Q1486" s="394"/>
      <c r="R1486" s="392"/>
      <c r="S1486" s="395"/>
      <c r="T1486" s="396"/>
      <c r="U1486" s="396"/>
      <c r="V1486" s="396"/>
      <c r="W1486" s="396"/>
      <c r="X1486" s="397"/>
      <c r="Y1486" s="339"/>
      <c r="Z1486" s="339"/>
      <c r="AA1486" s="339"/>
    </row>
    <row r="1487" spans="7:27" ht="14.25">
      <c r="G1487" s="387"/>
      <c r="H1487" s="549"/>
      <c r="I1487" s="387"/>
      <c r="J1487" s="550"/>
      <c r="K1487" s="551"/>
      <c r="L1487" s="551"/>
      <c r="M1487" s="551"/>
      <c r="N1487" s="387"/>
      <c r="O1487" s="387"/>
      <c r="P1487" s="551"/>
      <c r="Q1487" s="394"/>
      <c r="R1487" s="551"/>
      <c r="S1487" s="395"/>
      <c r="T1487" s="395"/>
      <c r="U1487" s="395"/>
      <c r="V1487" s="395"/>
      <c r="W1487" s="395"/>
      <c r="X1487" s="622"/>
      <c r="Y1487" s="458"/>
      <c r="Z1487" s="458"/>
      <c r="AA1487" s="458"/>
    </row>
    <row r="1488" spans="7:27" ht="14.25">
      <c r="G1488" s="388"/>
      <c r="H1488" s="389"/>
      <c r="I1488" s="388"/>
      <c r="J1488" s="391"/>
      <c r="K1488" s="392"/>
      <c r="L1488" s="392"/>
      <c r="M1488" s="392"/>
      <c r="N1488" s="388"/>
      <c r="O1488" s="388"/>
      <c r="P1488" s="392"/>
      <c r="Q1488" s="394"/>
      <c r="R1488" s="392"/>
      <c r="S1488" s="395"/>
      <c r="T1488" s="396"/>
      <c r="U1488" s="396"/>
      <c r="V1488" s="396"/>
      <c r="W1488" s="396"/>
      <c r="X1488" s="397"/>
      <c r="Y1488" s="339"/>
      <c r="Z1488" s="339"/>
      <c r="AA1488" s="339"/>
    </row>
    <row r="1489" spans="7:27" ht="14.25">
      <c r="G1489" s="387"/>
      <c r="H1489" s="549"/>
      <c r="I1489" s="387"/>
      <c r="J1489" s="550"/>
      <c r="K1489" s="551"/>
      <c r="L1489" s="551"/>
      <c r="M1489" s="551"/>
      <c r="N1489" s="387"/>
      <c r="O1489" s="387"/>
      <c r="P1489" s="551"/>
      <c r="Q1489" s="394"/>
      <c r="R1489" s="551"/>
      <c r="S1489" s="395"/>
      <c r="T1489" s="395"/>
      <c r="U1489" s="395"/>
      <c r="V1489" s="395"/>
      <c r="W1489" s="395"/>
      <c r="X1489" s="622"/>
      <c r="Y1489" s="458"/>
      <c r="Z1489" s="458"/>
      <c r="AA1489" s="458"/>
    </row>
    <row r="1490" spans="7:27" ht="14.25">
      <c r="G1490" s="388"/>
      <c r="H1490" s="389"/>
      <c r="I1490" s="388"/>
      <c r="J1490" s="391"/>
      <c r="K1490" s="392"/>
      <c r="L1490" s="392"/>
      <c r="M1490" s="392"/>
      <c r="N1490" s="388"/>
      <c r="O1490" s="388"/>
      <c r="P1490" s="392"/>
      <c r="Q1490" s="394"/>
      <c r="R1490" s="392"/>
      <c r="S1490" s="395"/>
      <c r="T1490" s="396"/>
      <c r="U1490" s="396"/>
      <c r="V1490" s="396"/>
      <c r="W1490" s="396"/>
      <c r="X1490" s="397"/>
      <c r="Y1490" s="339"/>
      <c r="Z1490" s="339"/>
      <c r="AA1490" s="339"/>
    </row>
    <row r="1491" spans="7:27" ht="14.25">
      <c r="G1491" s="387"/>
      <c r="H1491" s="549"/>
      <c r="I1491" s="387"/>
      <c r="J1491" s="550"/>
      <c r="K1491" s="551"/>
      <c r="L1491" s="551"/>
      <c r="M1491" s="551"/>
      <c r="N1491" s="387"/>
      <c r="O1491" s="387"/>
      <c r="P1491" s="551"/>
      <c r="Q1491" s="394"/>
      <c r="R1491" s="551"/>
      <c r="S1491" s="395"/>
      <c r="T1491" s="395"/>
      <c r="U1491" s="395"/>
      <c r="V1491" s="395"/>
      <c r="W1491" s="395"/>
      <c r="X1491" s="622"/>
      <c r="Y1491" s="458"/>
      <c r="Z1491" s="458"/>
      <c r="AA1491" s="458"/>
    </row>
    <row r="1492" spans="7:27" ht="14.25">
      <c r="G1492" s="388"/>
      <c r="H1492" s="389"/>
      <c r="I1492" s="388"/>
      <c r="J1492" s="391"/>
      <c r="K1492" s="392"/>
      <c r="L1492" s="392"/>
      <c r="M1492" s="392"/>
      <c r="N1492" s="388"/>
      <c r="O1492" s="388"/>
      <c r="P1492" s="392"/>
      <c r="Q1492" s="394"/>
      <c r="R1492" s="392"/>
      <c r="S1492" s="395"/>
      <c r="T1492" s="396"/>
      <c r="U1492" s="396"/>
      <c r="V1492" s="396"/>
      <c r="W1492" s="396"/>
      <c r="X1492" s="397"/>
      <c r="Y1492" s="339"/>
      <c r="Z1492" s="339"/>
      <c r="AA1492" s="339"/>
    </row>
    <row r="1493" spans="7:27" ht="14.25">
      <c r="G1493" s="387"/>
      <c r="H1493" s="549"/>
      <c r="I1493" s="387"/>
      <c r="J1493" s="550"/>
      <c r="K1493" s="551"/>
      <c r="L1493" s="551"/>
      <c r="M1493" s="551"/>
      <c r="N1493" s="387"/>
      <c r="O1493" s="387"/>
      <c r="P1493" s="551"/>
      <c r="Q1493" s="394"/>
      <c r="R1493" s="551"/>
      <c r="S1493" s="395"/>
      <c r="T1493" s="395"/>
      <c r="U1493" s="395"/>
      <c r="V1493" s="395"/>
      <c r="W1493" s="395"/>
      <c r="X1493" s="622"/>
      <c r="Y1493" s="458"/>
      <c r="Z1493" s="458"/>
      <c r="AA1493" s="458"/>
    </row>
    <row r="1494" spans="7:27" ht="14.25">
      <c r="G1494" s="388"/>
      <c r="H1494" s="389"/>
      <c r="I1494" s="388"/>
      <c r="J1494" s="391"/>
      <c r="K1494" s="392"/>
      <c r="L1494" s="392"/>
      <c r="M1494" s="392"/>
      <c r="N1494" s="388"/>
      <c r="O1494" s="388"/>
      <c r="P1494" s="392"/>
      <c r="Q1494" s="394"/>
      <c r="R1494" s="392"/>
      <c r="S1494" s="395"/>
      <c r="T1494" s="396"/>
      <c r="U1494" s="396"/>
      <c r="V1494" s="396"/>
      <c r="W1494" s="396"/>
      <c r="X1494" s="397"/>
      <c r="Y1494" s="339"/>
      <c r="Z1494" s="339"/>
      <c r="AA1494" s="339"/>
    </row>
    <row r="1495" spans="7:27" ht="14.25">
      <c r="G1495" s="387"/>
      <c r="H1495" s="549"/>
      <c r="I1495" s="387"/>
      <c r="J1495" s="550"/>
      <c r="K1495" s="551"/>
      <c r="L1495" s="551"/>
      <c r="M1495" s="551"/>
      <c r="N1495" s="387"/>
      <c r="O1495" s="387"/>
      <c r="P1495" s="551"/>
      <c r="Q1495" s="394"/>
      <c r="R1495" s="551"/>
      <c r="S1495" s="395"/>
      <c r="T1495" s="395"/>
      <c r="U1495" s="395"/>
      <c r="V1495" s="395"/>
      <c r="W1495" s="395"/>
      <c r="X1495" s="622"/>
      <c r="Y1495" s="458"/>
      <c r="Z1495" s="458"/>
      <c r="AA1495" s="458"/>
    </row>
    <row r="1496" spans="7:27" ht="14.25">
      <c r="G1496" s="388"/>
      <c r="H1496" s="389"/>
      <c r="I1496" s="388"/>
      <c r="J1496" s="391"/>
      <c r="K1496" s="392"/>
      <c r="L1496" s="392"/>
      <c r="M1496" s="392"/>
      <c r="N1496" s="388"/>
      <c r="O1496" s="388"/>
      <c r="P1496" s="392"/>
      <c r="Q1496" s="394"/>
      <c r="R1496" s="392"/>
      <c r="S1496" s="395"/>
      <c r="T1496" s="396"/>
      <c r="U1496" s="396"/>
      <c r="V1496" s="396"/>
      <c r="W1496" s="396"/>
      <c r="X1496" s="397"/>
      <c r="Y1496" s="339"/>
      <c r="Z1496" s="339"/>
      <c r="AA1496" s="339"/>
    </row>
    <row r="1497" spans="7:27" ht="14.25">
      <c r="G1497" s="387"/>
      <c r="H1497" s="549"/>
      <c r="I1497" s="387"/>
      <c r="J1497" s="550"/>
      <c r="K1497" s="551"/>
      <c r="L1497" s="551"/>
      <c r="M1497" s="551"/>
      <c r="N1497" s="387"/>
      <c r="O1497" s="387"/>
      <c r="P1497" s="551"/>
      <c r="Q1497" s="394"/>
      <c r="R1497" s="551"/>
      <c r="S1497" s="395"/>
      <c r="T1497" s="395"/>
      <c r="U1497" s="395"/>
      <c r="V1497" s="395"/>
      <c r="W1497" s="395"/>
      <c r="X1497" s="622"/>
      <c r="Y1497" s="458"/>
      <c r="Z1497" s="458"/>
      <c r="AA1497" s="458"/>
    </row>
    <row r="1498" spans="7:27" ht="14.25">
      <c r="G1498" s="388"/>
      <c r="H1498" s="389"/>
      <c r="I1498" s="388"/>
      <c r="J1498" s="391"/>
      <c r="K1498" s="392"/>
      <c r="L1498" s="392"/>
      <c r="M1498" s="392"/>
      <c r="N1498" s="388"/>
      <c r="O1498" s="388"/>
      <c r="P1498" s="392"/>
      <c r="Q1498" s="394"/>
      <c r="R1498" s="392"/>
      <c r="S1498" s="395"/>
      <c r="T1498" s="396"/>
      <c r="U1498" s="396"/>
      <c r="V1498" s="396"/>
      <c r="W1498" s="396"/>
      <c r="X1498" s="397"/>
      <c r="Y1498" s="339"/>
      <c r="Z1498" s="339"/>
      <c r="AA1498" s="339"/>
    </row>
    <row r="1499" spans="7:27" ht="14.25">
      <c r="G1499" s="387"/>
      <c r="H1499" s="549"/>
      <c r="I1499" s="387"/>
      <c r="J1499" s="550"/>
      <c r="K1499" s="551"/>
      <c r="L1499" s="551"/>
      <c r="M1499" s="551"/>
      <c r="N1499" s="387"/>
      <c r="O1499" s="387"/>
      <c r="P1499" s="551"/>
      <c r="Q1499" s="394"/>
      <c r="R1499" s="551"/>
      <c r="S1499" s="395"/>
      <c r="T1499" s="395"/>
      <c r="U1499" s="395"/>
      <c r="V1499" s="395"/>
      <c r="W1499" s="395"/>
      <c r="X1499" s="622"/>
      <c r="Y1499" s="458"/>
      <c r="Z1499" s="458"/>
      <c r="AA1499" s="458"/>
    </row>
    <row r="1500" spans="7:27" ht="14.25">
      <c r="G1500" s="388"/>
      <c r="H1500" s="389"/>
      <c r="I1500" s="388"/>
      <c r="J1500" s="391"/>
      <c r="K1500" s="392"/>
      <c r="L1500" s="392"/>
      <c r="M1500" s="392"/>
      <c r="N1500" s="388"/>
      <c r="O1500" s="388"/>
      <c r="P1500" s="392"/>
      <c r="Q1500" s="394"/>
      <c r="R1500" s="392"/>
      <c r="S1500" s="395"/>
      <c r="T1500" s="396"/>
      <c r="U1500" s="396"/>
      <c r="V1500" s="396"/>
      <c r="W1500" s="396"/>
      <c r="X1500" s="397"/>
      <c r="Y1500" s="339"/>
      <c r="Z1500" s="339"/>
      <c r="AA1500" s="339"/>
    </row>
    <row r="1501" spans="7:27" ht="14.25">
      <c r="G1501" s="387"/>
      <c r="H1501" s="549"/>
      <c r="I1501" s="387"/>
      <c r="J1501" s="550"/>
      <c r="K1501" s="551"/>
      <c r="L1501" s="551"/>
      <c r="M1501" s="551"/>
      <c r="N1501" s="387"/>
      <c r="O1501" s="387"/>
      <c r="P1501" s="551"/>
      <c r="Q1501" s="394"/>
      <c r="R1501" s="551"/>
      <c r="S1501" s="395"/>
      <c r="T1501" s="395"/>
      <c r="U1501" s="395"/>
      <c r="V1501" s="395"/>
      <c r="W1501" s="395"/>
      <c r="X1501" s="622"/>
      <c r="Y1501" s="458"/>
      <c r="Z1501" s="458"/>
      <c r="AA1501" s="458"/>
    </row>
    <row r="1502" spans="7:27" ht="14.25">
      <c r="G1502" s="388"/>
      <c r="H1502" s="389"/>
      <c r="I1502" s="388"/>
      <c r="J1502" s="391"/>
      <c r="K1502" s="392"/>
      <c r="L1502" s="392"/>
      <c r="M1502" s="392"/>
      <c r="N1502" s="388"/>
      <c r="O1502" s="388"/>
      <c r="P1502" s="392"/>
      <c r="Q1502" s="394"/>
      <c r="R1502" s="392"/>
      <c r="S1502" s="395"/>
      <c r="T1502" s="396"/>
      <c r="U1502" s="396"/>
      <c r="V1502" s="396"/>
      <c r="W1502" s="396"/>
      <c r="X1502" s="397"/>
      <c r="Y1502" s="339"/>
      <c r="Z1502" s="339"/>
      <c r="AA1502" s="339"/>
    </row>
    <row r="1503" spans="7:27" ht="14.25">
      <c r="G1503" s="387"/>
      <c r="H1503" s="549"/>
      <c r="I1503" s="387"/>
      <c r="J1503" s="550"/>
      <c r="K1503" s="551"/>
      <c r="L1503" s="551"/>
      <c r="M1503" s="551"/>
      <c r="N1503" s="387"/>
      <c r="O1503" s="387"/>
      <c r="P1503" s="551"/>
      <c r="Q1503" s="394"/>
      <c r="R1503" s="551"/>
      <c r="S1503" s="395"/>
      <c r="T1503" s="395"/>
      <c r="U1503" s="395"/>
      <c r="V1503" s="395"/>
      <c r="W1503" s="395"/>
      <c r="X1503" s="622"/>
      <c r="Y1503" s="458"/>
      <c r="Z1503" s="458"/>
      <c r="AA1503" s="458"/>
    </row>
    <row r="1504" spans="7:27" ht="14.25">
      <c r="G1504" s="388"/>
      <c r="H1504" s="389"/>
      <c r="I1504" s="388"/>
      <c r="J1504" s="391"/>
      <c r="K1504" s="392"/>
      <c r="L1504" s="392"/>
      <c r="M1504" s="392"/>
      <c r="N1504" s="388"/>
      <c r="O1504" s="388"/>
      <c r="P1504" s="392"/>
      <c r="Q1504" s="394"/>
      <c r="R1504" s="392"/>
      <c r="S1504" s="395"/>
      <c r="T1504" s="396"/>
      <c r="U1504" s="396"/>
      <c r="V1504" s="396"/>
      <c r="W1504" s="396"/>
      <c r="X1504" s="397"/>
      <c r="Y1504" s="339"/>
      <c r="Z1504" s="339"/>
      <c r="AA1504" s="339"/>
    </row>
    <row r="1505" spans="7:27" ht="14.25">
      <c r="G1505" s="387"/>
      <c r="H1505" s="549"/>
      <c r="I1505" s="387"/>
      <c r="J1505" s="550"/>
      <c r="K1505" s="551"/>
      <c r="L1505" s="551"/>
      <c r="M1505" s="551"/>
      <c r="N1505" s="387"/>
      <c r="O1505" s="387"/>
      <c r="P1505" s="551"/>
      <c r="Q1505" s="394"/>
      <c r="R1505" s="551"/>
      <c r="S1505" s="395"/>
      <c r="T1505" s="395"/>
      <c r="U1505" s="395"/>
      <c r="V1505" s="395"/>
      <c r="W1505" s="395"/>
      <c r="X1505" s="622"/>
      <c r="Y1505" s="458"/>
      <c r="Z1505" s="458"/>
      <c r="AA1505" s="458"/>
    </row>
    <row r="1506" spans="7:27" ht="14.25">
      <c r="G1506" s="388"/>
      <c r="H1506" s="389"/>
      <c r="I1506" s="388"/>
      <c r="J1506" s="391"/>
      <c r="K1506" s="392"/>
      <c r="L1506" s="392"/>
      <c r="M1506" s="392"/>
      <c r="N1506" s="388"/>
      <c r="O1506" s="388"/>
      <c r="P1506" s="392"/>
      <c r="Q1506" s="394"/>
      <c r="R1506" s="392"/>
      <c r="S1506" s="395"/>
      <c r="T1506" s="396"/>
      <c r="U1506" s="396"/>
      <c r="V1506" s="396"/>
      <c r="W1506" s="396"/>
      <c r="X1506" s="397"/>
      <c r="Y1506" s="339"/>
      <c r="Z1506" s="339"/>
      <c r="AA1506" s="339"/>
    </row>
    <row r="1507" spans="7:27" ht="14.25">
      <c r="G1507" s="387"/>
      <c r="H1507" s="549"/>
      <c r="I1507" s="387"/>
      <c r="J1507" s="550"/>
      <c r="K1507" s="551"/>
      <c r="L1507" s="551"/>
      <c r="M1507" s="551"/>
      <c r="N1507" s="387"/>
      <c r="O1507" s="387"/>
      <c r="P1507" s="551"/>
      <c r="Q1507" s="394"/>
      <c r="R1507" s="551"/>
      <c r="S1507" s="395"/>
      <c r="T1507" s="395"/>
      <c r="U1507" s="395"/>
      <c r="V1507" s="395"/>
      <c r="W1507" s="395"/>
      <c r="X1507" s="622"/>
      <c r="Y1507" s="458"/>
      <c r="Z1507" s="458"/>
      <c r="AA1507" s="458"/>
    </row>
    <row r="1508" spans="7:27" ht="14.25">
      <c r="G1508" s="388"/>
      <c r="H1508" s="389"/>
      <c r="I1508" s="388"/>
      <c r="J1508" s="391"/>
      <c r="K1508" s="392"/>
      <c r="L1508" s="392"/>
      <c r="M1508" s="392"/>
      <c r="N1508" s="388"/>
      <c r="O1508" s="388"/>
      <c r="P1508" s="392"/>
      <c r="Q1508" s="394"/>
      <c r="R1508" s="392"/>
      <c r="S1508" s="395"/>
      <c r="T1508" s="396"/>
      <c r="U1508" s="396"/>
      <c r="V1508" s="396"/>
      <c r="W1508" s="396"/>
      <c r="X1508" s="397"/>
      <c r="Y1508" s="339"/>
      <c r="Z1508" s="339"/>
      <c r="AA1508" s="339"/>
    </row>
    <row r="1509" spans="7:27" ht="14.25">
      <c r="G1509" s="387"/>
      <c r="H1509" s="549"/>
      <c r="I1509" s="387"/>
      <c r="J1509" s="550"/>
      <c r="K1509" s="551"/>
      <c r="L1509" s="551"/>
      <c r="M1509" s="551"/>
      <c r="N1509" s="387"/>
      <c r="O1509" s="387"/>
      <c r="P1509" s="551"/>
      <c r="Q1509" s="394"/>
      <c r="R1509" s="551"/>
      <c r="S1509" s="395"/>
      <c r="T1509" s="395"/>
      <c r="U1509" s="395"/>
      <c r="V1509" s="395"/>
      <c r="W1509" s="395"/>
      <c r="X1509" s="622"/>
      <c r="Y1509" s="458"/>
      <c r="Z1509" s="458"/>
      <c r="AA1509" s="458"/>
    </row>
    <row r="1510" spans="7:27" ht="14.25">
      <c r="G1510" s="388"/>
      <c r="H1510" s="389"/>
      <c r="I1510" s="388"/>
      <c r="J1510" s="391"/>
      <c r="K1510" s="392"/>
      <c r="L1510" s="392"/>
      <c r="M1510" s="392"/>
      <c r="N1510" s="388"/>
      <c r="O1510" s="388"/>
      <c r="P1510" s="392"/>
      <c r="Q1510" s="394"/>
      <c r="R1510" s="392"/>
      <c r="S1510" s="395"/>
      <c r="T1510" s="396"/>
      <c r="U1510" s="396"/>
      <c r="V1510" s="396"/>
      <c r="W1510" s="396"/>
      <c r="X1510" s="397"/>
      <c r="Y1510" s="339"/>
      <c r="Z1510" s="339"/>
      <c r="AA1510" s="339"/>
    </row>
    <row r="1511" spans="7:27" ht="14.25">
      <c r="G1511" s="387"/>
      <c r="H1511" s="549"/>
      <c r="I1511" s="387"/>
      <c r="J1511" s="550"/>
      <c r="K1511" s="551"/>
      <c r="L1511" s="551"/>
      <c r="M1511" s="551"/>
      <c r="N1511" s="387"/>
      <c r="O1511" s="387"/>
      <c r="P1511" s="551"/>
      <c r="Q1511" s="394"/>
      <c r="R1511" s="551"/>
      <c r="S1511" s="395"/>
      <c r="T1511" s="395"/>
      <c r="U1511" s="395"/>
      <c r="V1511" s="395"/>
      <c r="W1511" s="395"/>
      <c r="X1511" s="622"/>
      <c r="Y1511" s="458"/>
      <c r="Z1511" s="458"/>
      <c r="AA1511" s="458"/>
    </row>
    <row r="1512" spans="7:27" ht="14.25">
      <c r="G1512" s="388"/>
      <c r="H1512" s="389"/>
      <c r="I1512" s="388"/>
      <c r="J1512" s="391"/>
      <c r="K1512" s="392"/>
      <c r="L1512" s="392"/>
      <c r="M1512" s="392"/>
      <c r="N1512" s="388"/>
      <c r="O1512" s="388"/>
      <c r="P1512" s="392"/>
      <c r="Q1512" s="394"/>
      <c r="R1512" s="392"/>
      <c r="S1512" s="395"/>
      <c r="T1512" s="396"/>
      <c r="U1512" s="396"/>
      <c r="V1512" s="396"/>
      <c r="W1512" s="396"/>
      <c r="X1512" s="397"/>
      <c r="Y1512" s="339"/>
      <c r="Z1512" s="339"/>
      <c r="AA1512" s="339"/>
    </row>
    <row r="1513" spans="7:27" ht="14.25">
      <c r="G1513" s="387"/>
      <c r="H1513" s="549"/>
      <c r="I1513" s="387"/>
      <c r="J1513" s="550"/>
      <c r="K1513" s="551"/>
      <c r="L1513" s="551"/>
      <c r="M1513" s="551"/>
      <c r="N1513" s="387"/>
      <c r="O1513" s="387"/>
      <c r="P1513" s="551"/>
      <c r="Q1513" s="394"/>
      <c r="R1513" s="551"/>
      <c r="S1513" s="395"/>
      <c r="T1513" s="395"/>
      <c r="U1513" s="395"/>
      <c r="V1513" s="395"/>
      <c r="W1513" s="395"/>
      <c r="X1513" s="622"/>
      <c r="Y1513" s="458"/>
      <c r="Z1513" s="458"/>
      <c r="AA1513" s="458"/>
    </row>
    <row r="1514" spans="7:27" ht="14.25">
      <c r="G1514" s="388"/>
      <c r="H1514" s="389"/>
      <c r="I1514" s="388"/>
      <c r="J1514" s="391"/>
      <c r="K1514" s="392"/>
      <c r="L1514" s="392"/>
      <c r="M1514" s="392"/>
      <c r="N1514" s="388"/>
      <c r="O1514" s="388"/>
      <c r="P1514" s="392"/>
      <c r="Q1514" s="394"/>
      <c r="R1514" s="392"/>
      <c r="S1514" s="395"/>
      <c r="T1514" s="396"/>
      <c r="U1514" s="396"/>
      <c r="V1514" s="396"/>
      <c r="W1514" s="396"/>
      <c r="X1514" s="397"/>
      <c r="Y1514" s="339"/>
      <c r="Z1514" s="339"/>
      <c r="AA1514" s="339"/>
    </row>
    <row r="1515" spans="7:27" ht="14.25">
      <c r="G1515" s="387"/>
      <c r="H1515" s="549"/>
      <c r="I1515" s="387"/>
      <c r="J1515" s="550"/>
      <c r="K1515" s="551"/>
      <c r="L1515" s="551"/>
      <c r="M1515" s="551"/>
      <c r="N1515" s="387"/>
      <c r="O1515" s="387"/>
      <c r="P1515" s="551"/>
      <c r="Q1515" s="394"/>
      <c r="R1515" s="551"/>
      <c r="S1515" s="395"/>
      <c r="T1515" s="395"/>
      <c r="U1515" s="395"/>
      <c r="V1515" s="395"/>
      <c r="W1515" s="395"/>
      <c r="X1515" s="622"/>
      <c r="Y1515" s="458"/>
      <c r="Z1515" s="458"/>
      <c r="AA1515" s="458"/>
    </row>
    <row r="1516" spans="7:27" ht="14.25">
      <c r="G1516" s="388"/>
      <c r="H1516" s="389"/>
      <c r="I1516" s="388"/>
      <c r="J1516" s="391"/>
      <c r="K1516" s="392"/>
      <c r="L1516" s="392"/>
      <c r="M1516" s="392"/>
      <c r="N1516" s="388"/>
      <c r="O1516" s="388"/>
      <c r="P1516" s="392"/>
      <c r="Q1516" s="394"/>
      <c r="R1516" s="392"/>
      <c r="S1516" s="395"/>
      <c r="T1516" s="396"/>
      <c r="U1516" s="396"/>
      <c r="V1516" s="396"/>
      <c r="W1516" s="396"/>
      <c r="X1516" s="397"/>
      <c r="Y1516" s="339"/>
      <c r="Z1516" s="339"/>
      <c r="AA1516" s="339"/>
    </row>
    <row r="1517" spans="7:27" ht="14.25">
      <c r="G1517" s="387"/>
      <c r="H1517" s="549"/>
      <c r="I1517" s="387"/>
      <c r="J1517" s="550"/>
      <c r="K1517" s="551"/>
      <c r="L1517" s="551"/>
      <c r="M1517" s="551"/>
      <c r="N1517" s="387"/>
      <c r="O1517" s="387"/>
      <c r="P1517" s="551"/>
      <c r="Q1517" s="394"/>
      <c r="R1517" s="551"/>
      <c r="S1517" s="395"/>
      <c r="T1517" s="395"/>
      <c r="U1517" s="395"/>
      <c r="V1517" s="395"/>
      <c r="W1517" s="395"/>
      <c r="X1517" s="622"/>
      <c r="Y1517" s="458"/>
      <c r="Z1517" s="458"/>
      <c r="AA1517" s="458"/>
    </row>
    <row r="1518" spans="7:27" ht="14.25">
      <c r="G1518" s="388"/>
      <c r="H1518" s="389"/>
      <c r="I1518" s="388"/>
      <c r="J1518" s="391"/>
      <c r="K1518" s="392"/>
      <c r="L1518" s="392"/>
      <c r="M1518" s="392"/>
      <c r="N1518" s="388"/>
      <c r="O1518" s="388"/>
      <c r="P1518" s="392"/>
      <c r="Q1518" s="394"/>
      <c r="R1518" s="392"/>
      <c r="S1518" s="395"/>
      <c r="T1518" s="396"/>
      <c r="U1518" s="396"/>
      <c r="V1518" s="396"/>
      <c r="W1518" s="396"/>
      <c r="X1518" s="397"/>
      <c r="Y1518" s="339"/>
      <c r="Z1518" s="339"/>
      <c r="AA1518" s="339"/>
    </row>
    <row r="1519" spans="7:27" ht="14.25">
      <c r="G1519" s="387"/>
      <c r="H1519" s="549"/>
      <c r="I1519" s="387"/>
      <c r="J1519" s="550"/>
      <c r="K1519" s="551"/>
      <c r="L1519" s="551"/>
      <c r="M1519" s="551"/>
      <c r="N1519" s="387"/>
      <c r="O1519" s="387"/>
      <c r="P1519" s="551"/>
      <c r="Q1519" s="394"/>
      <c r="R1519" s="551"/>
      <c r="S1519" s="395"/>
      <c r="T1519" s="395"/>
      <c r="U1519" s="395"/>
      <c r="V1519" s="395"/>
      <c r="W1519" s="395"/>
      <c r="X1519" s="622"/>
      <c r="Y1519" s="458"/>
      <c r="Z1519" s="458"/>
      <c r="AA1519" s="458"/>
    </row>
    <row r="1520" spans="7:27" ht="14.25">
      <c r="G1520" s="388"/>
      <c r="H1520" s="389"/>
      <c r="I1520" s="388"/>
      <c r="J1520" s="391"/>
      <c r="K1520" s="392"/>
      <c r="L1520" s="392"/>
      <c r="M1520" s="392"/>
      <c r="N1520" s="388"/>
      <c r="O1520" s="388"/>
      <c r="P1520" s="392"/>
      <c r="Q1520" s="394"/>
      <c r="R1520" s="392"/>
      <c r="S1520" s="395"/>
      <c r="T1520" s="396"/>
      <c r="U1520" s="396"/>
      <c r="V1520" s="396"/>
      <c r="W1520" s="396"/>
      <c r="X1520" s="397"/>
      <c r="Y1520" s="339"/>
      <c r="Z1520" s="339"/>
      <c r="AA1520" s="339"/>
    </row>
    <row r="1521" spans="7:27" ht="14.25">
      <c r="G1521" s="387"/>
      <c r="H1521" s="549"/>
      <c r="I1521" s="387"/>
      <c r="J1521" s="550"/>
      <c r="K1521" s="551"/>
      <c r="L1521" s="551"/>
      <c r="M1521" s="551"/>
      <c r="N1521" s="387"/>
      <c r="O1521" s="387"/>
      <c r="P1521" s="551"/>
      <c r="Q1521" s="394"/>
      <c r="R1521" s="551"/>
      <c r="S1521" s="395"/>
      <c r="T1521" s="395"/>
      <c r="U1521" s="395"/>
      <c r="V1521" s="395"/>
      <c r="W1521" s="395"/>
      <c r="X1521" s="622"/>
      <c r="Y1521" s="458"/>
      <c r="Z1521" s="458"/>
      <c r="AA1521" s="458"/>
    </row>
    <row r="1522" spans="7:27" ht="14.25">
      <c r="G1522" s="388"/>
      <c r="H1522" s="389"/>
      <c r="I1522" s="388"/>
      <c r="J1522" s="391"/>
      <c r="K1522" s="392"/>
      <c r="L1522" s="392"/>
      <c r="M1522" s="392"/>
      <c r="N1522" s="388"/>
      <c r="O1522" s="388"/>
      <c r="P1522" s="392"/>
      <c r="Q1522" s="394"/>
      <c r="R1522" s="392"/>
      <c r="S1522" s="395"/>
      <c r="T1522" s="396"/>
      <c r="U1522" s="396"/>
      <c r="V1522" s="396"/>
      <c r="W1522" s="396"/>
      <c r="X1522" s="397"/>
      <c r="Y1522" s="339"/>
      <c r="Z1522" s="339"/>
      <c r="AA1522" s="339"/>
    </row>
    <row r="1523" spans="7:27" ht="14.25">
      <c r="G1523" s="387"/>
      <c r="H1523" s="549"/>
      <c r="I1523" s="387"/>
      <c r="J1523" s="550"/>
      <c r="K1523" s="551"/>
      <c r="L1523" s="551"/>
      <c r="M1523" s="551"/>
      <c r="N1523" s="387"/>
      <c r="O1523" s="387"/>
      <c r="P1523" s="551"/>
      <c r="Q1523" s="394"/>
      <c r="R1523" s="551"/>
      <c r="S1523" s="395"/>
      <c r="T1523" s="395"/>
      <c r="U1523" s="395"/>
      <c r="V1523" s="395"/>
      <c r="W1523" s="395"/>
      <c r="X1523" s="622"/>
      <c r="Y1523" s="458"/>
      <c r="Z1523" s="458"/>
      <c r="AA1523" s="458"/>
    </row>
    <row r="1524" spans="1:27" s="303" customFormat="1" ht="14.25">
      <c r="A1524" s="384"/>
      <c r="B1524" s="384"/>
      <c r="C1524" s="384"/>
      <c r="D1524" s="384"/>
      <c r="E1524" s="384"/>
      <c r="F1524" s="384"/>
      <c r="G1524" s="388"/>
      <c r="H1524" s="389"/>
      <c r="I1524" s="388"/>
      <c r="J1524" s="391"/>
      <c r="K1524" s="392"/>
      <c r="L1524" s="392"/>
      <c r="M1524" s="392"/>
      <c r="N1524" s="388"/>
      <c r="O1524" s="388"/>
      <c r="P1524" s="392"/>
      <c r="Q1524" s="394"/>
      <c r="R1524" s="392"/>
      <c r="S1524" s="395"/>
      <c r="T1524" s="396"/>
      <c r="U1524" s="396"/>
      <c r="V1524" s="396"/>
      <c r="W1524" s="396"/>
      <c r="X1524" s="397"/>
      <c r="Y1524" s="339"/>
      <c r="Z1524" s="339"/>
      <c r="AA1524" s="339"/>
    </row>
    <row r="1525" spans="7:8" ht="14.25">
      <c r="G1525" s="384"/>
      <c r="H1525" s="484"/>
    </row>
    <row r="1526" spans="7:8" ht="14.25">
      <c r="G1526" s="384"/>
      <c r="H1526" s="484"/>
    </row>
    <row r="1527" spans="7:8" ht="14.25">
      <c r="G1527" s="384"/>
      <c r="H1527" s="484"/>
    </row>
    <row r="1529" spans="1:6" ht="15">
      <c r="A1529" s="384"/>
      <c r="B1529" s="384"/>
      <c r="C1529" s="384"/>
      <c r="D1529" s="384"/>
      <c r="E1529" s="602"/>
      <c r="F1529" s="602"/>
    </row>
    <row r="1530" spans="1:6" ht="14.25">
      <c r="A1530" s="384"/>
      <c r="B1530" s="384"/>
      <c r="C1530" s="384"/>
      <c r="D1530" s="384"/>
      <c r="E1530" s="387"/>
      <c r="F1530" s="387"/>
    </row>
    <row r="1531" spans="5:6" ht="14.25">
      <c r="E1531" s="388"/>
      <c r="F1531" s="388"/>
    </row>
    <row r="1532" spans="4:6" ht="14.25">
      <c r="D1532" s="384"/>
      <c r="E1532" s="606"/>
      <c r="F1532" s="606"/>
    </row>
    <row r="1533" spans="5:6" ht="14.25">
      <c r="E1533" s="388"/>
      <c r="F1533" s="388"/>
    </row>
    <row r="1534" spans="5:6" ht="14.25">
      <c r="E1534" s="606"/>
      <c r="F1534" s="606"/>
    </row>
    <row r="1535" spans="5:6" ht="14.25">
      <c r="E1535" s="388"/>
      <c r="F1535" s="388"/>
    </row>
  </sheetData>
  <sheetProtection/>
  <mergeCells count="3">
    <mergeCell ref="A1:D1"/>
    <mergeCell ref="K1:M1"/>
    <mergeCell ref="O1:Q1"/>
  </mergeCells>
  <printOptions/>
  <pageMargins left="0.5905511811023623" right="0.5905511811023623" top="0.984251968503937" bottom="0.984251968503937" header="0.5118110236220472" footer="0.5118110236220472"/>
  <pageSetup horizontalDpi="600" verticalDpi="600" orientation="landscape" paperSize="9" scale="89" r:id="rId3"/>
  <legacyDrawing r:id="rId2"/>
</worksheet>
</file>

<file path=xl/worksheets/sheet5.xml><?xml version="1.0" encoding="utf-8"?>
<worksheet xmlns="http://schemas.openxmlformats.org/spreadsheetml/2006/main" xmlns:r="http://schemas.openxmlformats.org/officeDocument/2006/relationships">
  <dimension ref="A1:Y213"/>
  <sheetViews>
    <sheetView zoomScalePageLayoutView="0" workbookViewId="0" topLeftCell="A1">
      <pane ySplit="1" topLeftCell="A2" activePane="bottomLeft" state="frozen"/>
      <selection pane="topLeft" activeCell="A1" sqref="A1"/>
      <selection pane="bottomLeft" activeCell="A1" sqref="A1:F1"/>
    </sheetView>
  </sheetViews>
  <sheetFormatPr defaultColWidth="8.8515625" defaultRowHeight="12.75"/>
  <cols>
    <col min="1" max="2" width="8.8515625" style="0" customWidth="1"/>
    <col min="3" max="3" width="25.8515625" style="0" customWidth="1"/>
    <col min="4" max="4" width="26.28125" style="0" customWidth="1"/>
    <col min="5" max="5" width="9.140625" style="0" bestFit="1" customWidth="1"/>
    <col min="6" max="6" width="8.8515625" style="0" customWidth="1"/>
    <col min="7" max="7" width="34.140625" style="0" customWidth="1"/>
    <col min="8" max="8" width="34.140625" style="227" customWidth="1"/>
    <col min="9" max="9" width="20.421875" style="227" customWidth="1"/>
    <col min="10" max="10" width="8.8515625" style="19" customWidth="1"/>
    <col min="11" max="16" width="8.8515625" style="0" customWidth="1"/>
    <col min="17" max="17" width="26.8515625" style="0" customWidth="1"/>
    <col min="18" max="19" width="8.8515625" style="0" customWidth="1"/>
    <col min="20" max="20" width="18.140625" style="53" customWidth="1"/>
    <col min="21" max="21" width="17.140625" style="53" customWidth="1"/>
    <col min="22" max="22" width="12.140625" style="53" customWidth="1"/>
    <col min="23" max="23" width="12.7109375" style="53" customWidth="1"/>
    <col min="24" max="24" width="22.7109375" style="53" customWidth="1"/>
    <col min="25" max="25" width="18.57421875" style="53" customWidth="1"/>
  </cols>
  <sheetData>
    <row r="1" spans="1:25" ht="25.5" customHeight="1">
      <c r="A1" s="647" t="s">
        <v>2625</v>
      </c>
      <c r="B1" s="647"/>
      <c r="C1" s="647"/>
      <c r="D1" s="647"/>
      <c r="E1" s="79" t="s">
        <v>2626</v>
      </c>
      <c r="F1" s="79" t="s">
        <v>2627</v>
      </c>
      <c r="G1" s="1" t="s">
        <v>1712</v>
      </c>
      <c r="H1" s="219" t="s">
        <v>2243</v>
      </c>
      <c r="I1" s="219" t="s">
        <v>2183</v>
      </c>
      <c r="J1" s="18" t="s">
        <v>1708</v>
      </c>
      <c r="K1" s="645" t="s">
        <v>2184</v>
      </c>
      <c r="L1" s="646"/>
      <c r="M1" s="646"/>
      <c r="N1" s="1" t="s">
        <v>1710</v>
      </c>
      <c r="O1" s="645" t="s">
        <v>2185</v>
      </c>
      <c r="P1" s="646"/>
      <c r="Q1" s="646"/>
      <c r="R1" s="1" t="s">
        <v>2274</v>
      </c>
      <c r="T1" s="51" t="s">
        <v>2527</v>
      </c>
      <c r="U1" s="51" t="s">
        <v>2528</v>
      </c>
      <c r="V1" s="51" t="s">
        <v>2529</v>
      </c>
      <c r="W1" s="51" t="s">
        <v>2530</v>
      </c>
      <c r="X1" s="51" t="s">
        <v>2532</v>
      </c>
      <c r="Y1" s="52" t="s">
        <v>2531</v>
      </c>
    </row>
    <row r="2" spans="1:25" s="207" customFormat="1" ht="102.75" customHeight="1">
      <c r="A2" s="85" t="s">
        <v>806</v>
      </c>
      <c r="B2" s="206" t="s">
        <v>194</v>
      </c>
      <c r="C2" s="87" t="s">
        <v>222</v>
      </c>
      <c r="D2" s="88" t="s">
        <v>2074</v>
      </c>
      <c r="E2" s="89">
        <v>18000</v>
      </c>
      <c r="F2" s="89">
        <v>17508</v>
      </c>
      <c r="H2" s="220"/>
      <c r="I2" s="220"/>
      <c r="J2" s="208"/>
      <c r="T2" s="228"/>
      <c r="U2" s="228"/>
      <c r="V2" s="228"/>
      <c r="W2" s="228"/>
      <c r="X2" s="228"/>
      <c r="Y2" s="228"/>
    </row>
    <row r="3" spans="1:25" s="84" customFormat="1" ht="42.75">
      <c r="A3" s="95" t="s">
        <v>807</v>
      </c>
      <c r="B3" s="195" t="s">
        <v>194</v>
      </c>
      <c r="C3" s="124" t="s">
        <v>223</v>
      </c>
      <c r="D3" s="98" t="s">
        <v>1867</v>
      </c>
      <c r="E3" s="99">
        <v>7080</v>
      </c>
      <c r="F3" s="99">
        <v>6968</v>
      </c>
      <c r="H3" s="221"/>
      <c r="I3" s="221"/>
      <c r="J3" s="209"/>
      <c r="T3" s="130"/>
      <c r="U3" s="130"/>
      <c r="V3" s="130"/>
      <c r="W3" s="130"/>
      <c r="X3" s="130"/>
      <c r="Y3" s="130"/>
    </row>
    <row r="4" spans="1:25" s="188" customFormat="1" ht="30">
      <c r="A4" s="105" t="s">
        <v>808</v>
      </c>
      <c r="B4" s="197" t="s">
        <v>194</v>
      </c>
      <c r="C4" s="107" t="s">
        <v>224</v>
      </c>
      <c r="D4" s="108" t="s">
        <v>1868</v>
      </c>
      <c r="E4" s="109">
        <v>6750</v>
      </c>
      <c r="F4" s="109">
        <v>6643</v>
      </c>
      <c r="H4" s="222"/>
      <c r="I4" s="222"/>
      <c r="J4" s="210"/>
      <c r="T4" s="229"/>
      <c r="U4" s="229"/>
      <c r="V4" s="229"/>
      <c r="W4" s="229"/>
      <c r="X4" s="229"/>
      <c r="Y4" s="229"/>
    </row>
    <row r="5" spans="1:25" s="141" customFormat="1" ht="30">
      <c r="A5" s="115" t="s">
        <v>809</v>
      </c>
      <c r="B5" s="194" t="s">
        <v>198</v>
      </c>
      <c r="C5" s="117" t="s">
        <v>225</v>
      </c>
      <c r="D5" s="118" t="s">
        <v>1869</v>
      </c>
      <c r="E5" s="119">
        <v>1030</v>
      </c>
      <c r="F5" s="119">
        <v>1014</v>
      </c>
      <c r="G5" s="141" t="s">
        <v>2317</v>
      </c>
      <c r="H5" s="182">
        <v>6031.920030856261</v>
      </c>
      <c r="I5" s="182">
        <v>6103</v>
      </c>
      <c r="J5" s="172">
        <v>0.25</v>
      </c>
      <c r="K5" s="141" t="s">
        <v>2309</v>
      </c>
      <c r="L5" s="141" t="s">
        <v>2505</v>
      </c>
      <c r="M5" s="141" t="s">
        <v>2506</v>
      </c>
      <c r="N5" s="141" t="s">
        <v>2580</v>
      </c>
      <c r="O5" s="141" t="s">
        <v>2187</v>
      </c>
      <c r="P5" s="141" t="s">
        <v>2310</v>
      </c>
      <c r="R5" s="141" t="s">
        <v>2311</v>
      </c>
      <c r="T5" s="143">
        <f>82.8581/60</f>
        <v>1.3809683333333331</v>
      </c>
      <c r="U5" s="143">
        <v>0.01374</v>
      </c>
      <c r="V5" s="143">
        <f>98.8305/60</f>
        <v>1.647175</v>
      </c>
      <c r="W5" s="143">
        <v>0.01638</v>
      </c>
      <c r="X5" s="143">
        <f>37358.1724/60</f>
        <v>622.6362066666667</v>
      </c>
      <c r="Y5" s="143">
        <v>6.19341</v>
      </c>
    </row>
    <row r="6" spans="1:25" s="144" customFormat="1" ht="30">
      <c r="A6" s="95" t="s">
        <v>810</v>
      </c>
      <c r="B6" s="195" t="s">
        <v>198</v>
      </c>
      <c r="C6" s="97" t="s">
        <v>226</v>
      </c>
      <c r="D6" s="170" t="s">
        <v>1870</v>
      </c>
      <c r="E6" s="171">
        <v>290</v>
      </c>
      <c r="F6" s="171">
        <v>295</v>
      </c>
      <c r="H6" s="223"/>
      <c r="I6" s="223"/>
      <c r="J6" s="211"/>
      <c r="T6" s="186"/>
      <c r="U6" s="186"/>
      <c r="V6" s="186"/>
      <c r="W6" s="186"/>
      <c r="X6" s="186"/>
      <c r="Y6" s="186"/>
    </row>
    <row r="7" spans="1:25" s="84" customFormat="1" ht="30">
      <c r="A7" s="95" t="s">
        <v>811</v>
      </c>
      <c r="B7" s="195" t="s">
        <v>194</v>
      </c>
      <c r="C7" s="124" t="s">
        <v>227</v>
      </c>
      <c r="D7" s="98"/>
      <c r="E7" s="99">
        <v>300</v>
      </c>
      <c r="F7" s="99">
        <v>295</v>
      </c>
      <c r="H7" s="221"/>
      <c r="I7" s="221"/>
      <c r="J7" s="209"/>
      <c r="T7" s="130"/>
      <c r="U7" s="130"/>
      <c r="V7" s="130"/>
      <c r="W7" s="130"/>
      <c r="X7" s="130"/>
      <c r="Y7" s="130"/>
    </row>
    <row r="8" spans="1:25" s="141" customFormat="1" ht="30">
      <c r="A8" s="115" t="s">
        <v>534</v>
      </c>
      <c r="B8" s="194" t="s">
        <v>198</v>
      </c>
      <c r="C8" s="117" t="s">
        <v>228</v>
      </c>
      <c r="D8" s="118" t="s">
        <v>2581</v>
      </c>
      <c r="E8" s="119">
        <v>260</v>
      </c>
      <c r="F8" s="119">
        <v>256</v>
      </c>
      <c r="G8" s="141" t="s">
        <v>2266</v>
      </c>
      <c r="H8" s="182">
        <v>1472.6463781707075</v>
      </c>
      <c r="I8" s="182">
        <v>1490</v>
      </c>
      <c r="J8" s="172">
        <v>0.25</v>
      </c>
      <c r="K8" s="141" t="s">
        <v>2273</v>
      </c>
      <c r="L8" s="141" t="s">
        <v>2227</v>
      </c>
      <c r="M8" s="141" t="s">
        <v>2267</v>
      </c>
      <c r="N8" s="141" t="s">
        <v>2268</v>
      </c>
      <c r="O8" s="141" t="s">
        <v>2187</v>
      </c>
      <c r="P8" s="141" t="s">
        <v>2319</v>
      </c>
      <c r="R8" s="141" t="s">
        <v>2320</v>
      </c>
      <c r="T8" s="143">
        <f>19.3367/8.5</f>
        <v>2.2749058823529413</v>
      </c>
      <c r="U8" s="143">
        <v>0.01313</v>
      </c>
      <c r="V8" s="143">
        <f>5.7621/8.5</f>
        <v>0.6778941176470589</v>
      </c>
      <c r="W8" s="143">
        <v>0.00391</v>
      </c>
      <c r="X8" s="143">
        <f>4253.8833/8.5</f>
        <v>500.45685882352944</v>
      </c>
      <c r="Y8" s="143">
        <v>2.88859</v>
      </c>
    </row>
    <row r="9" spans="1:25" s="84" customFormat="1" ht="30">
      <c r="A9" s="95" t="s">
        <v>535</v>
      </c>
      <c r="B9" s="195" t="s">
        <v>194</v>
      </c>
      <c r="C9" s="124" t="s">
        <v>229</v>
      </c>
      <c r="D9" s="98"/>
      <c r="E9" s="99" t="s">
        <v>1689</v>
      </c>
      <c r="F9" s="99" t="s">
        <v>1689</v>
      </c>
      <c r="H9" s="221"/>
      <c r="I9" s="221"/>
      <c r="J9" s="209"/>
      <c r="T9" s="130"/>
      <c r="U9" s="130"/>
      <c r="V9" s="130"/>
      <c r="W9" s="130"/>
      <c r="X9" s="130"/>
      <c r="Y9" s="130"/>
    </row>
    <row r="10" spans="1:25" s="84" customFormat="1" ht="30">
      <c r="A10" s="95" t="s">
        <v>812</v>
      </c>
      <c r="B10" s="195" t="s">
        <v>198</v>
      </c>
      <c r="C10" s="124" t="s">
        <v>230</v>
      </c>
      <c r="D10" s="98"/>
      <c r="E10" s="99">
        <v>370</v>
      </c>
      <c r="F10" s="99">
        <v>364</v>
      </c>
      <c r="H10" s="221"/>
      <c r="I10" s="221"/>
      <c r="J10" s="209"/>
      <c r="T10" s="130"/>
      <c r="U10" s="130"/>
      <c r="V10" s="130"/>
      <c r="W10" s="130"/>
      <c r="X10" s="130"/>
      <c r="Y10" s="130"/>
    </row>
    <row r="11" spans="1:25" s="141" customFormat="1" ht="30">
      <c r="A11" s="115" t="s">
        <v>813</v>
      </c>
      <c r="B11" s="194" t="s">
        <v>198</v>
      </c>
      <c r="C11" s="117" t="s">
        <v>231</v>
      </c>
      <c r="D11" s="118" t="s">
        <v>1871</v>
      </c>
      <c r="E11" s="119">
        <v>1250</v>
      </c>
      <c r="F11" s="119">
        <v>1230</v>
      </c>
      <c r="G11" s="141" t="s">
        <v>2318</v>
      </c>
      <c r="H11" s="182">
        <v>5100.001728858167</v>
      </c>
      <c r="I11" s="182">
        <v>5160.1</v>
      </c>
      <c r="J11" s="172">
        <v>0.25</v>
      </c>
      <c r="K11" s="141" t="s">
        <v>2306</v>
      </c>
      <c r="L11" s="141" t="s">
        <v>2507</v>
      </c>
      <c r="M11" s="141" t="s">
        <v>2307</v>
      </c>
      <c r="N11" s="141" t="s">
        <v>2248</v>
      </c>
      <c r="O11" s="141" t="s">
        <v>1715</v>
      </c>
      <c r="P11" s="141" t="s">
        <v>2308</v>
      </c>
      <c r="R11" s="141" t="s">
        <v>2392</v>
      </c>
      <c r="T11" s="143">
        <f>97.8709/26.5</f>
        <v>3.6932415094339626</v>
      </c>
      <c r="U11" s="143">
        <v>0.01919</v>
      </c>
      <c r="V11" s="143">
        <f>80.3385/26.5</f>
        <v>3.031641509433962</v>
      </c>
      <c r="W11" s="143">
        <v>0.01575</v>
      </c>
      <c r="X11" s="143">
        <f>14630/26.5</f>
        <v>552.0754716981132</v>
      </c>
      <c r="Y11" s="143">
        <v>2.8687</v>
      </c>
    </row>
    <row r="12" spans="1:25" s="84" customFormat="1" ht="30">
      <c r="A12" s="95" t="s">
        <v>814</v>
      </c>
      <c r="B12" s="193" t="s">
        <v>194</v>
      </c>
      <c r="C12" s="124" t="s">
        <v>232</v>
      </c>
      <c r="D12" s="98"/>
      <c r="E12" s="99">
        <v>220</v>
      </c>
      <c r="F12" s="99">
        <v>217</v>
      </c>
      <c r="H12" s="221"/>
      <c r="I12" s="221"/>
      <c r="J12" s="209"/>
      <c r="T12" s="130"/>
      <c r="U12" s="130"/>
      <c r="V12" s="130"/>
      <c r="W12" s="130"/>
      <c r="X12" s="130"/>
      <c r="Y12" s="130"/>
    </row>
    <row r="13" spans="1:25" s="141" customFormat="1" ht="30">
      <c r="A13" s="115" t="s">
        <v>815</v>
      </c>
      <c r="B13" s="194" t="s">
        <v>194</v>
      </c>
      <c r="C13" s="117" t="s">
        <v>233</v>
      </c>
      <c r="D13" s="118" t="s">
        <v>1872</v>
      </c>
      <c r="E13" s="119">
        <v>670</v>
      </c>
      <c r="F13" s="119">
        <v>659</v>
      </c>
      <c r="G13" s="141" t="s">
        <v>2209</v>
      </c>
      <c r="H13" s="182">
        <v>987.3649206661322</v>
      </c>
      <c r="I13" s="182">
        <v>999</v>
      </c>
      <c r="J13" s="172">
        <v>0.25</v>
      </c>
      <c r="K13" s="141" t="s">
        <v>2189</v>
      </c>
      <c r="L13" s="141" t="s">
        <v>2246</v>
      </c>
      <c r="M13" s="141" t="s">
        <v>2228</v>
      </c>
      <c r="N13" s="141" t="s">
        <v>2186</v>
      </c>
      <c r="O13" s="141" t="s">
        <v>2187</v>
      </c>
      <c r="P13" s="141" t="s">
        <v>2188</v>
      </c>
      <c r="R13" s="141" t="s">
        <v>2393</v>
      </c>
      <c r="T13" s="143">
        <f>5.3533/18.75</f>
        <v>0.28550933333333334</v>
      </c>
      <c r="U13" s="143">
        <v>0.00542</v>
      </c>
      <c r="V13" s="143">
        <f>21.0583/18.75</f>
        <v>1.1231093333333333</v>
      </c>
      <c r="W13" s="143">
        <v>0.02133</v>
      </c>
      <c r="X13" s="143">
        <f>7460.585/18.75</f>
        <v>397.8978666666667</v>
      </c>
      <c r="Y13" s="143">
        <v>7.55609</v>
      </c>
    </row>
    <row r="14" spans="1:25" s="141" customFormat="1" ht="30">
      <c r="A14" s="115" t="s">
        <v>816</v>
      </c>
      <c r="B14" s="194" t="s">
        <v>194</v>
      </c>
      <c r="C14" s="117" t="s">
        <v>234</v>
      </c>
      <c r="D14" s="118" t="s">
        <v>1873</v>
      </c>
      <c r="E14" s="119">
        <v>480</v>
      </c>
      <c r="F14" s="119">
        <v>472</v>
      </c>
      <c r="G14" s="141" t="s">
        <v>2238</v>
      </c>
      <c r="H14" s="182">
        <v>740.2766021811141</v>
      </c>
      <c r="I14" s="182">
        <v>749</v>
      </c>
      <c r="J14" s="172">
        <v>0.25</v>
      </c>
      <c r="K14" s="141" t="s">
        <v>2239</v>
      </c>
      <c r="L14" s="141" t="s">
        <v>2240</v>
      </c>
      <c r="M14" s="141" t="s">
        <v>2241</v>
      </c>
      <c r="N14" s="141" t="s">
        <v>2242</v>
      </c>
      <c r="O14" s="141" t="s">
        <v>2187</v>
      </c>
      <c r="P14" s="141" t="s">
        <v>2321</v>
      </c>
      <c r="R14" s="141" t="s">
        <v>2322</v>
      </c>
      <c r="T14" s="143">
        <f>37.3394/5</f>
        <v>7.467879999999999</v>
      </c>
      <c r="U14" s="143">
        <v>0.05046</v>
      </c>
      <c r="V14" s="143">
        <f>4.152/5</f>
        <v>0.8304</v>
      </c>
      <c r="W14" s="143">
        <v>0.00561</v>
      </c>
      <c r="X14" s="143">
        <f>2191.3297/5</f>
        <v>438.26593999999994</v>
      </c>
      <c r="Y14" s="143">
        <v>2.96126</v>
      </c>
    </row>
    <row r="15" spans="1:25" s="84" customFormat="1" ht="30">
      <c r="A15" s="95" t="s">
        <v>817</v>
      </c>
      <c r="B15" s="195" t="s">
        <v>418</v>
      </c>
      <c r="C15" s="124" t="s">
        <v>235</v>
      </c>
      <c r="D15" s="98"/>
      <c r="E15" s="99" t="s">
        <v>1689</v>
      </c>
      <c r="F15" s="99" t="s">
        <v>1689</v>
      </c>
      <c r="H15" s="221"/>
      <c r="I15" s="223"/>
      <c r="J15" s="209"/>
      <c r="T15" s="130"/>
      <c r="U15" s="130"/>
      <c r="V15" s="130"/>
      <c r="W15" s="130"/>
      <c r="X15" s="130"/>
      <c r="Y15" s="130"/>
    </row>
    <row r="16" spans="1:25" s="84" customFormat="1" ht="30">
      <c r="A16" s="95" t="s">
        <v>818</v>
      </c>
      <c r="B16" s="195" t="s">
        <v>418</v>
      </c>
      <c r="C16" s="124" t="s">
        <v>236</v>
      </c>
      <c r="D16" s="98"/>
      <c r="E16" s="99" t="s">
        <v>1689</v>
      </c>
      <c r="F16" s="99" t="s">
        <v>1689</v>
      </c>
      <c r="H16" s="221"/>
      <c r="I16" s="221"/>
      <c r="J16" s="209"/>
      <c r="T16" s="130"/>
      <c r="U16" s="130"/>
      <c r="V16" s="130"/>
      <c r="W16" s="130"/>
      <c r="X16" s="130"/>
      <c r="Y16" s="130"/>
    </row>
    <row r="17" spans="1:25" s="84" customFormat="1" ht="30">
      <c r="A17" s="95" t="s">
        <v>819</v>
      </c>
      <c r="B17" s="195" t="s">
        <v>418</v>
      </c>
      <c r="C17" s="124" t="s">
        <v>237</v>
      </c>
      <c r="D17" s="98"/>
      <c r="E17" s="99">
        <v>0</v>
      </c>
      <c r="F17" s="99">
        <v>0</v>
      </c>
      <c r="H17" s="221"/>
      <c r="I17" s="221"/>
      <c r="J17" s="209"/>
      <c r="T17" s="130"/>
      <c r="U17" s="130"/>
      <c r="V17" s="130"/>
      <c r="W17" s="130"/>
      <c r="X17" s="130"/>
      <c r="Y17" s="130"/>
    </row>
    <row r="18" spans="1:25" s="141" customFormat="1" ht="57">
      <c r="A18" s="115" t="s">
        <v>820</v>
      </c>
      <c r="B18" s="194" t="s">
        <v>418</v>
      </c>
      <c r="C18" s="117" t="s">
        <v>238</v>
      </c>
      <c r="D18" s="118" t="s">
        <v>2582</v>
      </c>
      <c r="E18" s="119">
        <v>500</v>
      </c>
      <c r="F18" s="119">
        <v>492</v>
      </c>
      <c r="G18" s="141" t="s">
        <v>2261</v>
      </c>
      <c r="H18" s="182">
        <v>592.0236110901034</v>
      </c>
      <c r="I18" s="182">
        <v>599</v>
      </c>
      <c r="J18" s="172">
        <v>0.25</v>
      </c>
      <c r="K18" s="141" t="s">
        <v>2259</v>
      </c>
      <c r="L18" s="141" t="s">
        <v>11</v>
      </c>
      <c r="M18" s="141" t="s">
        <v>2262</v>
      </c>
      <c r="N18" s="141" t="s">
        <v>2099</v>
      </c>
      <c r="O18" s="141" t="s">
        <v>413</v>
      </c>
      <c r="P18" s="141" t="s">
        <v>413</v>
      </c>
      <c r="R18" s="141" t="s">
        <v>2394</v>
      </c>
      <c r="T18" s="143">
        <f>4.3822/2</f>
        <v>2.1911</v>
      </c>
      <c r="U18" s="143">
        <v>0.0074</v>
      </c>
      <c r="V18" s="143">
        <f>0.315/2</f>
        <v>0.1575</v>
      </c>
      <c r="W18" s="143">
        <v>0.00053</v>
      </c>
      <c r="X18" s="143">
        <f>52.6322/2</f>
        <v>26.3161</v>
      </c>
      <c r="Y18" s="143">
        <v>0.0889</v>
      </c>
    </row>
    <row r="19" spans="1:25" s="84" customFormat="1" ht="30">
      <c r="A19" s="95" t="s">
        <v>821</v>
      </c>
      <c r="B19" s="195" t="s">
        <v>418</v>
      </c>
      <c r="C19" s="124" t="s">
        <v>239</v>
      </c>
      <c r="D19" s="98"/>
      <c r="E19" s="99" t="s">
        <v>1689</v>
      </c>
      <c r="F19" s="99" t="s">
        <v>1689</v>
      </c>
      <c r="H19" s="221"/>
      <c r="I19" s="221"/>
      <c r="J19" s="209"/>
      <c r="T19" s="130"/>
      <c r="U19" s="130"/>
      <c r="V19" s="130"/>
      <c r="W19" s="130"/>
      <c r="X19" s="130"/>
      <c r="Y19" s="130"/>
    </row>
    <row r="20" spans="1:25" s="84" customFormat="1" ht="30">
      <c r="A20" s="95" t="s">
        <v>822</v>
      </c>
      <c r="B20" s="195" t="s">
        <v>418</v>
      </c>
      <c r="C20" s="124" t="s">
        <v>240</v>
      </c>
      <c r="D20" s="98"/>
      <c r="E20" s="99" t="s">
        <v>1689</v>
      </c>
      <c r="F20" s="99" t="s">
        <v>1689</v>
      </c>
      <c r="H20" s="221"/>
      <c r="I20" s="221"/>
      <c r="J20" s="209"/>
      <c r="T20" s="130"/>
      <c r="U20" s="130"/>
      <c r="V20" s="130"/>
      <c r="W20" s="130"/>
      <c r="X20" s="130"/>
      <c r="Y20" s="130"/>
    </row>
    <row r="21" spans="1:25" s="188" customFormat="1" ht="30">
      <c r="A21" s="105" t="s">
        <v>823</v>
      </c>
      <c r="B21" s="197" t="s">
        <v>418</v>
      </c>
      <c r="C21" s="107" t="s">
        <v>1321</v>
      </c>
      <c r="D21" s="108" t="s">
        <v>1874</v>
      </c>
      <c r="E21" s="109" t="s">
        <v>1689</v>
      </c>
      <c r="F21" s="109" t="s">
        <v>1689</v>
      </c>
      <c r="H21" s="222"/>
      <c r="I21" s="222"/>
      <c r="J21" s="210"/>
      <c r="T21" s="229"/>
      <c r="U21" s="229"/>
      <c r="V21" s="229"/>
      <c r="W21" s="229"/>
      <c r="X21" s="229"/>
      <c r="Y21" s="229"/>
    </row>
    <row r="22" spans="1:25" s="141" customFormat="1" ht="15">
      <c r="A22" s="115" t="s">
        <v>824</v>
      </c>
      <c r="B22" s="194" t="s">
        <v>418</v>
      </c>
      <c r="C22" s="117" t="s">
        <v>1322</v>
      </c>
      <c r="D22" s="141" t="s">
        <v>1875</v>
      </c>
      <c r="E22" s="119" t="s">
        <v>1689</v>
      </c>
      <c r="F22" s="119" t="s">
        <v>1689</v>
      </c>
      <c r="G22" s="118" t="s">
        <v>2190</v>
      </c>
      <c r="H22" s="182">
        <v>1477.5881445404082</v>
      </c>
      <c r="I22" s="182">
        <v>1495</v>
      </c>
      <c r="J22" s="172">
        <v>0.25</v>
      </c>
      <c r="K22" s="141" t="s">
        <v>2191</v>
      </c>
      <c r="L22" s="141" t="s">
        <v>2508</v>
      </c>
      <c r="M22" s="141" t="s">
        <v>2509</v>
      </c>
      <c r="N22" s="141" t="s">
        <v>2192</v>
      </c>
      <c r="O22" s="141" t="s">
        <v>2272</v>
      </c>
      <c r="P22" s="141" t="s">
        <v>2271</v>
      </c>
      <c r="R22" s="141" t="s">
        <v>2395</v>
      </c>
      <c r="T22" s="143">
        <f>143.8558/9.9</f>
        <v>14.530888888888887</v>
      </c>
      <c r="U22" s="143">
        <v>0.09736</v>
      </c>
      <c r="V22" s="143">
        <f>229.6009/9.9</f>
        <v>23.1920101010101</v>
      </c>
      <c r="W22" s="143">
        <v>0.15539</v>
      </c>
      <c r="X22" s="143">
        <f>39417.1381/9.9</f>
        <v>3981.5291010101005</v>
      </c>
      <c r="Y22" s="143">
        <v>26.67664</v>
      </c>
    </row>
    <row r="23" spans="1:25" s="188" customFormat="1" ht="45">
      <c r="A23" s="105" t="s">
        <v>825</v>
      </c>
      <c r="B23" s="197" t="s">
        <v>418</v>
      </c>
      <c r="C23" s="107" t="s">
        <v>1324</v>
      </c>
      <c r="D23" s="108" t="s">
        <v>1876</v>
      </c>
      <c r="E23" s="109" t="s">
        <v>1689</v>
      </c>
      <c r="F23" s="109" t="s">
        <v>1689</v>
      </c>
      <c r="H23" s="222"/>
      <c r="I23" s="222"/>
      <c r="J23" s="210"/>
      <c r="T23" s="229"/>
      <c r="U23" s="229"/>
      <c r="V23" s="229"/>
      <c r="W23" s="229"/>
      <c r="X23" s="229"/>
      <c r="Y23" s="229"/>
    </row>
    <row r="24" spans="1:25" s="181" customFormat="1" ht="42.75">
      <c r="A24" s="176" t="s">
        <v>826</v>
      </c>
      <c r="B24" s="212" t="s">
        <v>418</v>
      </c>
      <c r="C24" s="178" t="s">
        <v>1324</v>
      </c>
      <c r="D24" s="181" t="s">
        <v>1876</v>
      </c>
      <c r="E24" s="180" t="s">
        <v>1689</v>
      </c>
      <c r="F24" s="180" t="s">
        <v>1689</v>
      </c>
      <c r="G24" s="179" t="s">
        <v>1703</v>
      </c>
      <c r="H24" s="224">
        <v>0</v>
      </c>
      <c r="I24" s="224"/>
      <c r="J24" s="213">
        <v>0.25</v>
      </c>
      <c r="T24" s="187" t="s">
        <v>413</v>
      </c>
      <c r="U24" s="187">
        <v>0.0122</v>
      </c>
      <c r="V24" s="187" t="s">
        <v>413</v>
      </c>
      <c r="W24" s="187">
        <v>0.00149</v>
      </c>
      <c r="X24" s="187" t="s">
        <v>413</v>
      </c>
      <c r="Y24" s="187">
        <v>0.00276</v>
      </c>
    </row>
    <row r="25" spans="1:25" s="84" customFormat="1" ht="30">
      <c r="A25" s="95" t="s">
        <v>827</v>
      </c>
      <c r="B25" s="195" t="s">
        <v>418</v>
      </c>
      <c r="C25" s="124" t="s">
        <v>1325</v>
      </c>
      <c r="D25" s="98"/>
      <c r="E25" s="99" t="s">
        <v>1689</v>
      </c>
      <c r="F25" s="99" t="s">
        <v>1689</v>
      </c>
      <c r="H25" s="221"/>
      <c r="I25" s="221"/>
      <c r="J25" s="209"/>
      <c r="T25" s="130"/>
      <c r="U25" s="130"/>
      <c r="V25" s="130"/>
      <c r="W25" s="130"/>
      <c r="X25" s="130"/>
      <c r="Y25" s="130"/>
    </row>
    <row r="26" spans="1:25" s="84" customFormat="1" ht="30">
      <c r="A26" s="95" t="s">
        <v>828</v>
      </c>
      <c r="B26" s="195" t="s">
        <v>418</v>
      </c>
      <c r="C26" s="124" t="s">
        <v>1326</v>
      </c>
      <c r="D26" s="98"/>
      <c r="E26" s="99">
        <v>0</v>
      </c>
      <c r="F26" s="99">
        <v>0</v>
      </c>
      <c r="H26" s="221"/>
      <c r="I26" s="221"/>
      <c r="J26" s="209"/>
      <c r="T26" s="130"/>
      <c r="U26" s="130"/>
      <c r="V26" s="130"/>
      <c r="W26" s="130"/>
      <c r="X26" s="130"/>
      <c r="Y26" s="130"/>
    </row>
    <row r="27" spans="1:25" s="188" customFormat="1" ht="15">
      <c r="A27" s="105" t="s">
        <v>829</v>
      </c>
      <c r="B27" s="197" t="s">
        <v>418</v>
      </c>
      <c r="C27" s="107" t="s">
        <v>1327</v>
      </c>
      <c r="D27" s="108" t="s">
        <v>1877</v>
      </c>
      <c r="E27" s="109">
        <v>1150</v>
      </c>
      <c r="F27" s="109">
        <v>1109</v>
      </c>
      <c r="H27" s="222"/>
      <c r="I27" s="222"/>
      <c r="J27" s="210"/>
      <c r="T27" s="229"/>
      <c r="U27" s="229"/>
      <c r="V27" s="229"/>
      <c r="W27" s="229"/>
      <c r="X27" s="229"/>
      <c r="Y27" s="229"/>
    </row>
    <row r="28" spans="1:25" s="141" customFormat="1" ht="30">
      <c r="A28" s="115" t="s">
        <v>830</v>
      </c>
      <c r="B28" s="194" t="s">
        <v>418</v>
      </c>
      <c r="C28" s="117" t="s">
        <v>1328</v>
      </c>
      <c r="D28" s="118" t="s">
        <v>1878</v>
      </c>
      <c r="E28" s="119">
        <v>240</v>
      </c>
      <c r="F28" s="119">
        <v>231</v>
      </c>
      <c r="G28" s="141" t="s">
        <v>2225</v>
      </c>
      <c r="H28" s="182">
        <v>80.05799437346148</v>
      </c>
      <c r="I28" s="182">
        <v>79</v>
      </c>
      <c r="J28" s="172">
        <v>0.25</v>
      </c>
      <c r="K28" s="141" t="s">
        <v>2226</v>
      </c>
      <c r="L28" s="141" t="s">
        <v>2275</v>
      </c>
      <c r="M28" s="141" t="s">
        <v>2276</v>
      </c>
      <c r="N28" s="141" t="s">
        <v>2144</v>
      </c>
      <c r="R28" s="141" t="s">
        <v>2226</v>
      </c>
      <c r="T28" s="143">
        <f>0.9588/0.145</f>
        <v>6.612413793103449</v>
      </c>
      <c r="U28" s="143">
        <v>0.1195</v>
      </c>
      <c r="V28" s="143">
        <f>1.3214/0.145</f>
        <v>9.113103448275861</v>
      </c>
      <c r="W28" s="143">
        <v>0.01651</v>
      </c>
      <c r="X28" s="143">
        <f>304.207/0.145</f>
        <v>2097.979310344828</v>
      </c>
      <c r="Y28" s="143">
        <v>3.79974</v>
      </c>
    </row>
    <row r="29" spans="1:25" s="141" customFormat="1" ht="30">
      <c r="A29" s="115" t="s">
        <v>831</v>
      </c>
      <c r="B29" s="194" t="s">
        <v>418</v>
      </c>
      <c r="C29" s="117" t="s">
        <v>1329</v>
      </c>
      <c r="D29" s="118" t="s">
        <v>1879</v>
      </c>
      <c r="E29" s="119">
        <v>340</v>
      </c>
      <c r="F29" s="119">
        <v>328</v>
      </c>
      <c r="G29" s="141" t="s">
        <v>2229</v>
      </c>
      <c r="H29" s="182">
        <v>35.468731684444954</v>
      </c>
      <c r="I29" s="182">
        <v>35</v>
      </c>
      <c r="J29" s="172">
        <v>0.25</v>
      </c>
      <c r="K29" s="141" t="s">
        <v>2230</v>
      </c>
      <c r="L29" s="141" t="s">
        <v>2231</v>
      </c>
      <c r="M29" s="141" t="s">
        <v>2244</v>
      </c>
      <c r="N29" s="141" t="s">
        <v>2145</v>
      </c>
      <c r="R29" s="141" t="s">
        <v>2396</v>
      </c>
      <c r="T29" s="143">
        <f>8.053/0.43</f>
        <v>18.727906976744187</v>
      </c>
      <c r="U29" s="143">
        <v>0.22704</v>
      </c>
      <c r="V29" s="143">
        <f>0.0015/0.43</f>
        <v>0.0034883720930232558</v>
      </c>
      <c r="W29" s="143">
        <v>4E-05</v>
      </c>
      <c r="X29" s="143">
        <f>319.1723/0.43</f>
        <v>742.2611627906977</v>
      </c>
      <c r="Y29" s="143">
        <v>8.99837</v>
      </c>
    </row>
    <row r="30" spans="1:25" s="84" customFormat="1" ht="30">
      <c r="A30" s="95" t="s">
        <v>832</v>
      </c>
      <c r="B30" s="195" t="s">
        <v>418</v>
      </c>
      <c r="C30" s="124" t="s">
        <v>1330</v>
      </c>
      <c r="D30" s="98"/>
      <c r="E30" s="99">
        <v>0</v>
      </c>
      <c r="F30" s="99">
        <v>0</v>
      </c>
      <c r="H30" s="221"/>
      <c r="I30" s="221"/>
      <c r="J30" s="209"/>
      <c r="T30" s="130"/>
      <c r="U30" s="130"/>
      <c r="V30" s="130"/>
      <c r="W30" s="130"/>
      <c r="X30" s="130"/>
      <c r="Y30" s="130"/>
    </row>
    <row r="31" spans="1:25" s="188" customFormat="1" ht="30">
      <c r="A31" s="105" t="s">
        <v>833</v>
      </c>
      <c r="B31" s="197" t="s">
        <v>418</v>
      </c>
      <c r="C31" s="107" t="s">
        <v>1331</v>
      </c>
      <c r="D31" s="108" t="s">
        <v>1880</v>
      </c>
      <c r="E31" s="109">
        <v>410</v>
      </c>
      <c r="F31" s="109">
        <v>395</v>
      </c>
      <c r="G31" s="188" t="s">
        <v>1704</v>
      </c>
      <c r="H31" s="222"/>
      <c r="I31" s="222"/>
      <c r="J31" s="210"/>
      <c r="T31" s="229"/>
      <c r="U31" s="229"/>
      <c r="V31" s="229"/>
      <c r="W31" s="229"/>
      <c r="X31" s="229"/>
      <c r="Y31" s="229"/>
    </row>
    <row r="32" spans="1:25" s="84" customFormat="1" ht="30">
      <c r="A32" s="95" t="s">
        <v>834</v>
      </c>
      <c r="B32" s="195" t="s">
        <v>418</v>
      </c>
      <c r="C32" s="124" t="s">
        <v>1332</v>
      </c>
      <c r="D32" s="98"/>
      <c r="E32" s="99">
        <v>110</v>
      </c>
      <c r="F32" s="99">
        <v>106</v>
      </c>
      <c r="H32" s="221"/>
      <c r="I32" s="221"/>
      <c r="J32" s="209"/>
      <c r="T32" s="130"/>
      <c r="U32" s="130"/>
      <c r="V32" s="130"/>
      <c r="W32" s="130"/>
      <c r="X32" s="130"/>
      <c r="Y32" s="130"/>
    </row>
    <row r="33" spans="1:25" s="84" customFormat="1" ht="30">
      <c r="A33" s="95" t="s">
        <v>835</v>
      </c>
      <c r="B33" s="195" t="s">
        <v>418</v>
      </c>
      <c r="C33" s="124" t="s">
        <v>1333</v>
      </c>
      <c r="D33" s="98"/>
      <c r="E33" s="99" t="s">
        <v>1689</v>
      </c>
      <c r="F33" s="99" t="s">
        <v>1689</v>
      </c>
      <c r="H33" s="221"/>
      <c r="I33" s="221"/>
      <c r="J33" s="209"/>
      <c r="T33" s="130"/>
      <c r="U33" s="130"/>
      <c r="V33" s="130"/>
      <c r="W33" s="130"/>
      <c r="X33" s="130"/>
      <c r="Y33" s="130"/>
    </row>
    <row r="34" spans="1:25" s="188" customFormat="1" ht="30">
      <c r="A34" s="105" t="s">
        <v>836</v>
      </c>
      <c r="B34" s="197" t="s">
        <v>194</v>
      </c>
      <c r="C34" s="107" t="s">
        <v>1334</v>
      </c>
      <c r="D34" s="108" t="s">
        <v>1881</v>
      </c>
      <c r="E34" s="109">
        <v>2660</v>
      </c>
      <c r="F34" s="109">
        <v>2275</v>
      </c>
      <c r="H34" s="222"/>
      <c r="I34" s="222"/>
      <c r="J34" s="210"/>
      <c r="T34" s="229"/>
      <c r="U34" s="229"/>
      <c r="V34" s="229"/>
      <c r="W34" s="229"/>
      <c r="X34" s="229"/>
      <c r="Y34" s="229"/>
    </row>
    <row r="35" spans="1:25" s="144" customFormat="1" ht="57">
      <c r="A35" s="95" t="s">
        <v>837</v>
      </c>
      <c r="B35" s="195" t="s">
        <v>194</v>
      </c>
      <c r="C35" s="97" t="s">
        <v>1335</v>
      </c>
      <c r="D35" s="170"/>
      <c r="E35" s="171">
        <v>2290</v>
      </c>
      <c r="F35" s="171">
        <v>1959</v>
      </c>
      <c r="H35" s="223"/>
      <c r="I35" s="221"/>
      <c r="J35" s="211"/>
      <c r="T35" s="186"/>
      <c r="U35" s="186"/>
      <c r="V35" s="186"/>
      <c r="W35" s="186"/>
      <c r="X35" s="186"/>
      <c r="Y35" s="186"/>
    </row>
    <row r="36" spans="1:25" s="84" customFormat="1" ht="30">
      <c r="A36" s="95" t="s">
        <v>838</v>
      </c>
      <c r="B36" s="195" t="s">
        <v>198</v>
      </c>
      <c r="C36" s="124" t="s">
        <v>1336</v>
      </c>
      <c r="D36" s="98"/>
      <c r="E36" s="99">
        <v>0</v>
      </c>
      <c r="F36" s="99">
        <v>0</v>
      </c>
      <c r="H36" s="221"/>
      <c r="I36" s="221"/>
      <c r="J36" s="209"/>
      <c r="K36" s="144"/>
      <c r="T36" s="130"/>
      <c r="U36" s="130"/>
      <c r="V36" s="130"/>
      <c r="W36" s="130"/>
      <c r="X36" s="130"/>
      <c r="Y36" s="130"/>
    </row>
    <row r="37" spans="1:25" s="84" customFormat="1" ht="42.75">
      <c r="A37" s="95" t="s">
        <v>839</v>
      </c>
      <c r="B37" s="195" t="s">
        <v>198</v>
      </c>
      <c r="C37" s="124" t="s">
        <v>1337</v>
      </c>
      <c r="D37" s="98"/>
      <c r="E37" s="99">
        <v>0</v>
      </c>
      <c r="F37" s="99">
        <v>0</v>
      </c>
      <c r="H37" s="221"/>
      <c r="I37" s="221"/>
      <c r="J37" s="209"/>
      <c r="K37" s="144"/>
      <c r="T37" s="130"/>
      <c r="U37" s="130"/>
      <c r="V37" s="130"/>
      <c r="W37" s="130"/>
      <c r="X37" s="130"/>
      <c r="Y37" s="130"/>
    </row>
    <row r="38" spans="1:25" s="141" customFormat="1" ht="30">
      <c r="A38" s="115" t="s">
        <v>840</v>
      </c>
      <c r="B38" s="194" t="s">
        <v>198</v>
      </c>
      <c r="C38" s="117" t="s">
        <v>1338</v>
      </c>
      <c r="D38" s="118" t="s">
        <v>1883</v>
      </c>
      <c r="E38" s="119">
        <v>240</v>
      </c>
      <c r="F38" s="119">
        <v>205</v>
      </c>
      <c r="G38" s="141" t="s">
        <v>2312</v>
      </c>
      <c r="H38" s="182">
        <v>6907.547377447477</v>
      </c>
      <c r="I38" s="182">
        <v>7063</v>
      </c>
      <c r="J38" s="172">
        <v>0.25</v>
      </c>
      <c r="K38" s="141" t="s">
        <v>2514</v>
      </c>
      <c r="L38" s="141" t="s">
        <v>2512</v>
      </c>
      <c r="M38" s="141" t="s">
        <v>2513</v>
      </c>
      <c r="N38" s="141" t="s">
        <v>2248</v>
      </c>
      <c r="O38" s="141" t="s">
        <v>2250</v>
      </c>
      <c r="P38" s="141" t="s">
        <v>2290</v>
      </c>
      <c r="R38" s="141" t="s">
        <v>2291</v>
      </c>
      <c r="T38" s="143">
        <f>174.1551/48.098</f>
        <v>3.6208387043120296</v>
      </c>
      <c r="U38" s="143">
        <v>0.02521</v>
      </c>
      <c r="V38" s="143">
        <f>28.5605/48.098</f>
        <v>0.5937980789222005</v>
      </c>
      <c r="W38" s="143">
        <v>0.00413</v>
      </c>
      <c r="X38" s="143">
        <f>14061.7153/48.098</f>
        <v>292.3555095845981</v>
      </c>
      <c r="Y38" s="143">
        <v>2.0357</v>
      </c>
    </row>
    <row r="39" spans="1:25" s="141" customFormat="1" ht="30">
      <c r="A39" s="115" t="s">
        <v>841</v>
      </c>
      <c r="B39" s="194" t="s">
        <v>198</v>
      </c>
      <c r="C39" s="117" t="s">
        <v>1339</v>
      </c>
      <c r="D39" s="118" t="s">
        <v>1882</v>
      </c>
      <c r="E39" s="119">
        <v>370</v>
      </c>
      <c r="F39" s="119">
        <v>316</v>
      </c>
      <c r="G39" s="141" t="s">
        <v>2313</v>
      </c>
      <c r="H39" s="182">
        <v>5957.918536515649</v>
      </c>
      <c r="I39" s="182">
        <v>6092</v>
      </c>
      <c r="J39" s="172">
        <v>0.25</v>
      </c>
      <c r="K39" s="141" t="s">
        <v>2252</v>
      </c>
      <c r="L39" s="141" t="s">
        <v>2510</v>
      </c>
      <c r="M39" s="141" t="s">
        <v>2511</v>
      </c>
      <c r="N39" s="141" t="s">
        <v>1756</v>
      </c>
      <c r="O39" s="141" t="s">
        <v>2250</v>
      </c>
      <c r="P39" s="141" t="s">
        <v>2289</v>
      </c>
      <c r="R39" s="141" t="s">
        <v>2397</v>
      </c>
      <c r="T39" s="143">
        <f>284.4265/70.1</f>
        <v>4.057439372325249</v>
      </c>
      <c r="U39" s="143">
        <v>0.04774</v>
      </c>
      <c r="V39" s="143">
        <f>27.2426/70.1</f>
        <v>0.3886248216833096</v>
      </c>
      <c r="W39" s="143">
        <v>0.00457</v>
      </c>
      <c r="X39" s="143">
        <f>51303.9779/70.1</f>
        <v>731.8684436519259</v>
      </c>
      <c r="Y39" s="143">
        <v>8.61106</v>
      </c>
    </row>
    <row r="40" spans="1:25" s="84" customFormat="1" ht="30">
      <c r="A40" s="95" t="s">
        <v>842</v>
      </c>
      <c r="B40" s="195" t="s">
        <v>198</v>
      </c>
      <c r="C40" s="124" t="s">
        <v>1340</v>
      </c>
      <c r="D40" s="98"/>
      <c r="E40" s="99">
        <v>90</v>
      </c>
      <c r="F40" s="99">
        <v>77</v>
      </c>
      <c r="H40" s="221"/>
      <c r="I40" s="221"/>
      <c r="J40" s="209"/>
      <c r="T40" s="130"/>
      <c r="U40" s="130"/>
      <c r="V40" s="130"/>
      <c r="W40" s="130"/>
      <c r="X40" s="130"/>
      <c r="Y40" s="130"/>
    </row>
    <row r="41" spans="1:25" s="84" customFormat="1" ht="30">
      <c r="A41" s="95" t="s">
        <v>843</v>
      </c>
      <c r="B41" s="195" t="s">
        <v>198</v>
      </c>
      <c r="C41" s="124" t="s">
        <v>1341</v>
      </c>
      <c r="D41" s="98"/>
      <c r="E41" s="99">
        <v>0</v>
      </c>
      <c r="F41" s="99">
        <v>0</v>
      </c>
      <c r="H41" s="221"/>
      <c r="I41" s="221"/>
      <c r="J41" s="209"/>
      <c r="T41" s="130"/>
      <c r="U41" s="130"/>
      <c r="V41" s="130"/>
      <c r="W41" s="130"/>
      <c r="X41" s="130"/>
      <c r="Y41" s="130"/>
    </row>
    <row r="42" spans="1:25" s="141" customFormat="1" ht="57">
      <c r="A42" s="115" t="s">
        <v>844</v>
      </c>
      <c r="B42" s="194" t="s">
        <v>198</v>
      </c>
      <c r="C42" s="117" t="s">
        <v>1342</v>
      </c>
      <c r="D42" s="118" t="s">
        <v>1884</v>
      </c>
      <c r="E42" s="119">
        <v>450</v>
      </c>
      <c r="F42" s="119">
        <v>385</v>
      </c>
      <c r="G42" s="141" t="s">
        <v>2314</v>
      </c>
      <c r="H42" s="182">
        <v>1148.1609261111903</v>
      </c>
      <c r="I42" s="182">
        <v>1174</v>
      </c>
      <c r="J42" s="172">
        <v>0.25</v>
      </c>
      <c r="K42" s="141" t="s">
        <v>2253</v>
      </c>
      <c r="L42" s="141" t="s">
        <v>2373</v>
      </c>
      <c r="M42" s="141" t="s">
        <v>2374</v>
      </c>
      <c r="N42" s="141" t="s">
        <v>2248</v>
      </c>
      <c r="O42" s="141" t="s">
        <v>2250</v>
      </c>
      <c r="P42" s="141" t="s">
        <v>2254</v>
      </c>
      <c r="R42" s="141" t="s">
        <v>2283</v>
      </c>
      <c r="T42" s="143">
        <f>34.6065/10.599</f>
        <v>3.2650721766204356</v>
      </c>
      <c r="U42" s="143">
        <f>0.03014</f>
        <v>0.03014</v>
      </c>
      <c r="V42" s="143">
        <f>6.7227/10.599</f>
        <v>0.6342768185677894</v>
      </c>
      <c r="W42" s="143">
        <v>0.00586</v>
      </c>
      <c r="X42" s="143">
        <f>5019.1797/10.599</f>
        <v>473.55219360317005</v>
      </c>
      <c r="Y42" s="143">
        <v>4.37154</v>
      </c>
    </row>
    <row r="43" spans="1:25" s="84" customFormat="1" ht="30">
      <c r="A43" s="95" t="s">
        <v>845</v>
      </c>
      <c r="B43" s="195" t="s">
        <v>198</v>
      </c>
      <c r="C43" s="124" t="s">
        <v>1343</v>
      </c>
      <c r="D43" s="98"/>
      <c r="E43" s="214">
        <v>200</v>
      </c>
      <c r="F43" s="214">
        <v>171</v>
      </c>
      <c r="H43" s="221"/>
      <c r="I43" s="221"/>
      <c r="J43" s="209"/>
      <c r="T43" s="130"/>
      <c r="U43" s="130"/>
      <c r="V43" s="130"/>
      <c r="W43" s="130"/>
      <c r="X43" s="130"/>
      <c r="Y43" s="130"/>
    </row>
    <row r="44" spans="1:25" s="84" customFormat="1" ht="30">
      <c r="A44" s="95" t="s">
        <v>846</v>
      </c>
      <c r="B44" s="195" t="s">
        <v>198</v>
      </c>
      <c r="C44" s="124" t="s">
        <v>1344</v>
      </c>
      <c r="D44" s="98"/>
      <c r="E44" s="215">
        <v>80</v>
      </c>
      <c r="F44" s="215">
        <v>68</v>
      </c>
      <c r="H44" s="221"/>
      <c r="I44" s="221"/>
      <c r="J44" s="209"/>
      <c r="T44" s="130"/>
      <c r="U44" s="130"/>
      <c r="V44" s="130"/>
      <c r="W44" s="130"/>
      <c r="X44" s="130"/>
      <c r="Y44" s="130"/>
    </row>
    <row r="45" spans="1:25" s="84" customFormat="1" ht="15">
      <c r="A45" s="95">
        <v>531303</v>
      </c>
      <c r="B45" s="96" t="s">
        <v>198</v>
      </c>
      <c r="C45" s="96" t="s">
        <v>1674</v>
      </c>
      <c r="D45" s="98"/>
      <c r="E45" s="214">
        <v>90</v>
      </c>
      <c r="F45" s="214">
        <v>77</v>
      </c>
      <c r="H45" s="221"/>
      <c r="I45" s="221"/>
      <c r="J45" s="209"/>
      <c r="T45" s="130"/>
      <c r="U45" s="130"/>
      <c r="V45" s="130"/>
      <c r="W45" s="130"/>
      <c r="X45" s="130"/>
      <c r="Y45" s="130"/>
    </row>
    <row r="46" spans="1:25" s="84" customFormat="1" ht="15">
      <c r="A46" s="95">
        <v>531304</v>
      </c>
      <c r="B46" s="96" t="s">
        <v>198</v>
      </c>
      <c r="C46" s="96" t="s">
        <v>1673</v>
      </c>
      <c r="D46" s="98"/>
      <c r="E46" s="215">
        <v>80</v>
      </c>
      <c r="F46" s="215">
        <v>68</v>
      </c>
      <c r="H46" s="221"/>
      <c r="I46" s="221"/>
      <c r="J46" s="209"/>
      <c r="T46" s="130"/>
      <c r="U46" s="130"/>
      <c r="V46" s="130"/>
      <c r="W46" s="130"/>
      <c r="X46" s="130"/>
      <c r="Y46" s="130"/>
    </row>
    <row r="47" spans="1:25" s="84" customFormat="1" ht="42.75">
      <c r="A47" s="95" t="s">
        <v>847</v>
      </c>
      <c r="B47" s="195" t="s">
        <v>194</v>
      </c>
      <c r="C47" s="124" t="s">
        <v>1345</v>
      </c>
      <c r="D47" s="98"/>
      <c r="E47" s="99" t="s">
        <v>1689</v>
      </c>
      <c r="F47" s="99" t="s">
        <v>1689</v>
      </c>
      <c r="H47" s="221"/>
      <c r="I47" s="221"/>
      <c r="J47" s="209"/>
      <c r="T47" s="130"/>
      <c r="U47" s="130"/>
      <c r="V47" s="130"/>
      <c r="W47" s="130"/>
      <c r="X47" s="130"/>
      <c r="Y47" s="130"/>
    </row>
    <row r="48" spans="1:25" s="84" customFormat="1" ht="30">
      <c r="A48" s="95" t="s">
        <v>848</v>
      </c>
      <c r="B48" s="195" t="s">
        <v>194</v>
      </c>
      <c r="C48" s="124" t="s">
        <v>1346</v>
      </c>
      <c r="D48" s="98"/>
      <c r="E48" s="99" t="s">
        <v>1689</v>
      </c>
      <c r="F48" s="99" t="s">
        <v>1689</v>
      </c>
      <c r="H48" s="221"/>
      <c r="I48" s="221"/>
      <c r="J48" s="209"/>
      <c r="T48" s="130"/>
      <c r="U48" s="130"/>
      <c r="V48" s="130"/>
      <c r="W48" s="130"/>
      <c r="X48" s="130"/>
      <c r="Y48" s="130"/>
    </row>
    <row r="49" spans="1:25" s="84" customFormat="1" ht="30">
      <c r="A49" s="95" t="s">
        <v>849</v>
      </c>
      <c r="B49" s="195" t="s">
        <v>198</v>
      </c>
      <c r="C49" s="124" t="s">
        <v>1347</v>
      </c>
      <c r="D49" s="98"/>
      <c r="E49" s="99">
        <v>0</v>
      </c>
      <c r="F49" s="99">
        <v>0</v>
      </c>
      <c r="H49" s="221"/>
      <c r="I49" s="221"/>
      <c r="J49" s="209"/>
      <c r="T49" s="130"/>
      <c r="U49" s="130"/>
      <c r="V49" s="130"/>
      <c r="W49" s="130"/>
      <c r="X49" s="130"/>
      <c r="Y49" s="130"/>
    </row>
    <row r="50" spans="1:25" s="84" customFormat="1" ht="30">
      <c r="A50" s="95" t="s">
        <v>850</v>
      </c>
      <c r="B50" s="195" t="s">
        <v>198</v>
      </c>
      <c r="C50" s="124" t="s">
        <v>1348</v>
      </c>
      <c r="D50" s="98"/>
      <c r="E50" s="99">
        <v>0</v>
      </c>
      <c r="F50" s="99">
        <v>0</v>
      </c>
      <c r="H50" s="221"/>
      <c r="I50" s="221"/>
      <c r="J50" s="209"/>
      <c r="T50" s="130"/>
      <c r="U50" s="130"/>
      <c r="V50" s="130"/>
      <c r="W50" s="130"/>
      <c r="X50" s="130"/>
      <c r="Y50" s="130"/>
    </row>
    <row r="51" spans="1:25" s="84" customFormat="1" ht="30">
      <c r="A51" s="95" t="s">
        <v>851</v>
      </c>
      <c r="B51" s="195" t="s">
        <v>194</v>
      </c>
      <c r="C51" s="124" t="s">
        <v>1349</v>
      </c>
      <c r="D51" s="98"/>
      <c r="E51" s="99">
        <v>250</v>
      </c>
      <c r="F51" s="99">
        <v>214</v>
      </c>
      <c r="H51" s="221"/>
      <c r="I51" s="221"/>
      <c r="J51" s="209"/>
      <c r="T51" s="130"/>
      <c r="U51" s="130"/>
      <c r="V51" s="130"/>
      <c r="W51" s="130"/>
      <c r="X51" s="130"/>
      <c r="Y51" s="130"/>
    </row>
    <row r="52" spans="1:25" s="141" customFormat="1" ht="30">
      <c r="A52" s="115" t="s">
        <v>852</v>
      </c>
      <c r="B52" s="194" t="s">
        <v>198</v>
      </c>
      <c r="C52" s="117" t="s">
        <v>1350</v>
      </c>
      <c r="D52" s="118" t="s">
        <v>1885</v>
      </c>
      <c r="E52" s="119">
        <v>240</v>
      </c>
      <c r="F52" s="119">
        <v>205</v>
      </c>
      <c r="G52" s="141" t="s">
        <v>2315</v>
      </c>
      <c r="H52" s="182">
        <v>1470.897813348578</v>
      </c>
      <c r="I52" s="182">
        <v>1504</v>
      </c>
      <c r="J52" s="172">
        <v>0.25</v>
      </c>
      <c r="K52" s="141" t="s">
        <v>2249</v>
      </c>
      <c r="L52" s="141" t="s">
        <v>2323</v>
      </c>
      <c r="M52" s="141" t="s">
        <v>2324</v>
      </c>
      <c r="N52" s="141" t="s">
        <v>2247</v>
      </c>
      <c r="O52" s="141" t="s">
        <v>2250</v>
      </c>
      <c r="P52" s="141" t="s">
        <v>2251</v>
      </c>
      <c r="R52" s="141" t="s">
        <v>2284</v>
      </c>
      <c r="T52" s="143">
        <f>32.008/4.532</f>
        <v>7.062665489849956</v>
      </c>
      <c r="U52" s="143">
        <v>0.02176</v>
      </c>
      <c r="V52" s="143">
        <f>7.4101/4.532</f>
        <v>1.6350617828773168</v>
      </c>
      <c r="W52" s="143">
        <v>0.00504</v>
      </c>
      <c r="X52" s="143">
        <f>4637.171/4.532</f>
        <v>1023.2063106796118</v>
      </c>
      <c r="Y52" s="143">
        <v>3.15261</v>
      </c>
    </row>
    <row r="53" spans="1:25" s="84" customFormat="1" ht="42.75">
      <c r="A53" s="95" t="s">
        <v>853</v>
      </c>
      <c r="B53" s="195" t="s">
        <v>418</v>
      </c>
      <c r="C53" s="124" t="s">
        <v>1351</v>
      </c>
      <c r="D53" s="98"/>
      <c r="E53" s="99" t="s">
        <v>1689</v>
      </c>
      <c r="F53" s="99" t="s">
        <v>1689</v>
      </c>
      <c r="H53" s="221"/>
      <c r="I53" s="221"/>
      <c r="J53" s="209"/>
      <c r="T53" s="130"/>
      <c r="U53" s="130"/>
      <c r="V53" s="130"/>
      <c r="W53" s="130"/>
      <c r="X53" s="130"/>
      <c r="Y53" s="130"/>
    </row>
    <row r="54" spans="1:25" s="84" customFormat="1" ht="30">
      <c r="A54" s="95" t="s">
        <v>854</v>
      </c>
      <c r="B54" s="195" t="s">
        <v>194</v>
      </c>
      <c r="C54" s="124" t="s">
        <v>1352</v>
      </c>
      <c r="D54" s="98"/>
      <c r="E54" s="99" t="s">
        <v>1689</v>
      </c>
      <c r="F54" s="99" t="s">
        <v>1689</v>
      </c>
      <c r="H54" s="221"/>
      <c r="I54" s="221"/>
      <c r="J54" s="209"/>
      <c r="T54" s="130"/>
      <c r="U54" s="130"/>
      <c r="V54" s="130"/>
      <c r="W54" s="130"/>
      <c r="X54" s="130"/>
      <c r="Y54" s="130"/>
    </row>
    <row r="55" spans="1:25" s="84" customFormat="1" ht="30">
      <c r="A55" s="95" t="s">
        <v>855</v>
      </c>
      <c r="B55" s="195" t="s">
        <v>418</v>
      </c>
      <c r="C55" s="124" t="s">
        <v>1353</v>
      </c>
      <c r="D55" s="98"/>
      <c r="E55" s="99" t="s">
        <v>1689</v>
      </c>
      <c r="F55" s="99" t="s">
        <v>1689</v>
      </c>
      <c r="H55" s="221"/>
      <c r="I55" s="221"/>
      <c r="J55" s="209"/>
      <c r="T55" s="130"/>
      <c r="U55" s="130"/>
      <c r="V55" s="130"/>
      <c r="W55" s="130"/>
      <c r="X55" s="130"/>
      <c r="Y55" s="130"/>
    </row>
    <row r="56" spans="1:25" s="144" customFormat="1" ht="28.5">
      <c r="A56" s="95" t="s">
        <v>856</v>
      </c>
      <c r="B56" s="195" t="s">
        <v>418</v>
      </c>
      <c r="C56" s="97" t="s">
        <v>1354</v>
      </c>
      <c r="D56" s="170"/>
      <c r="E56" s="171">
        <v>340</v>
      </c>
      <c r="F56" s="171">
        <v>291</v>
      </c>
      <c r="H56" s="223"/>
      <c r="I56" s="221"/>
      <c r="J56" s="211"/>
      <c r="T56" s="186"/>
      <c r="U56" s="186"/>
      <c r="V56" s="186"/>
      <c r="W56" s="186"/>
      <c r="X56" s="186"/>
      <c r="Y56" s="186"/>
    </row>
    <row r="57" spans="1:25" s="84" customFormat="1" ht="30">
      <c r="A57" s="95" t="s">
        <v>857</v>
      </c>
      <c r="B57" s="195" t="s">
        <v>418</v>
      </c>
      <c r="C57" s="124" t="s">
        <v>1355</v>
      </c>
      <c r="D57" s="98"/>
      <c r="E57" s="99" t="s">
        <v>1689</v>
      </c>
      <c r="F57" s="99" t="s">
        <v>1689</v>
      </c>
      <c r="H57" s="221"/>
      <c r="I57" s="221"/>
      <c r="J57" s="209"/>
      <c r="T57" s="130"/>
      <c r="U57" s="130"/>
      <c r="V57" s="130"/>
      <c r="W57" s="130"/>
      <c r="X57" s="130"/>
      <c r="Y57" s="130"/>
    </row>
    <row r="58" spans="1:25" s="84" customFormat="1" ht="30">
      <c r="A58" s="95" t="s">
        <v>858</v>
      </c>
      <c r="B58" s="195" t="s">
        <v>418</v>
      </c>
      <c r="C58" s="124" t="s">
        <v>1356</v>
      </c>
      <c r="D58" s="98"/>
      <c r="E58" s="99">
        <v>0</v>
      </c>
      <c r="F58" s="99">
        <v>0</v>
      </c>
      <c r="H58" s="221"/>
      <c r="I58" s="221"/>
      <c r="J58" s="209"/>
      <c r="T58" s="130"/>
      <c r="U58" s="130"/>
      <c r="V58" s="130"/>
      <c r="W58" s="130"/>
      <c r="X58" s="130"/>
      <c r="Y58" s="130"/>
    </row>
    <row r="59" spans="1:25" s="84" customFormat="1" ht="30">
      <c r="A59" s="95" t="s">
        <v>859</v>
      </c>
      <c r="B59" s="195" t="s">
        <v>418</v>
      </c>
      <c r="C59" s="124" t="s">
        <v>1357</v>
      </c>
      <c r="D59" s="98"/>
      <c r="E59" s="99" t="s">
        <v>1689</v>
      </c>
      <c r="F59" s="99" t="s">
        <v>1689</v>
      </c>
      <c r="H59" s="221"/>
      <c r="I59" s="221"/>
      <c r="J59" s="209"/>
      <c r="T59" s="130"/>
      <c r="U59" s="130"/>
      <c r="V59" s="130"/>
      <c r="W59" s="130"/>
      <c r="X59" s="130"/>
      <c r="Y59" s="130"/>
    </row>
    <row r="60" spans="1:25" s="84" customFormat="1" ht="30">
      <c r="A60" s="95" t="s">
        <v>860</v>
      </c>
      <c r="B60" s="195" t="s">
        <v>418</v>
      </c>
      <c r="C60" s="124" t="s">
        <v>1358</v>
      </c>
      <c r="D60" s="98"/>
      <c r="E60" s="99">
        <v>0</v>
      </c>
      <c r="F60" s="99">
        <v>0</v>
      </c>
      <c r="H60" s="221"/>
      <c r="I60" s="221"/>
      <c r="J60" s="209"/>
      <c r="T60" s="130"/>
      <c r="U60" s="130"/>
      <c r="V60" s="130"/>
      <c r="W60" s="130"/>
      <c r="X60" s="130"/>
      <c r="Y60" s="130"/>
    </row>
    <row r="61" spans="1:25" s="84" customFormat="1" ht="30">
      <c r="A61" s="95" t="s">
        <v>861</v>
      </c>
      <c r="B61" s="195" t="s">
        <v>418</v>
      </c>
      <c r="C61" s="124" t="s">
        <v>1359</v>
      </c>
      <c r="D61" s="98"/>
      <c r="E61" s="99" t="s">
        <v>1689</v>
      </c>
      <c r="F61" s="99" t="s">
        <v>1689</v>
      </c>
      <c r="H61" s="221"/>
      <c r="I61" s="221"/>
      <c r="J61" s="209"/>
      <c r="T61" s="130"/>
      <c r="U61" s="130"/>
      <c r="V61" s="130"/>
      <c r="W61" s="130"/>
      <c r="X61" s="130"/>
      <c r="Y61" s="130"/>
    </row>
    <row r="62" spans="1:25" s="84" customFormat="1" ht="30">
      <c r="A62" s="95" t="s">
        <v>862</v>
      </c>
      <c r="B62" s="195" t="s">
        <v>418</v>
      </c>
      <c r="C62" s="124" t="s">
        <v>1360</v>
      </c>
      <c r="D62" s="98"/>
      <c r="E62" s="99">
        <v>0</v>
      </c>
      <c r="F62" s="99">
        <v>0</v>
      </c>
      <c r="H62" s="221"/>
      <c r="I62" s="221"/>
      <c r="J62" s="209"/>
      <c r="T62" s="130"/>
      <c r="U62" s="130"/>
      <c r="V62" s="130"/>
      <c r="W62" s="130"/>
      <c r="X62" s="130"/>
      <c r="Y62" s="130"/>
    </row>
    <row r="63" spans="1:25" s="84" customFormat="1" ht="30">
      <c r="A63" s="95" t="s">
        <v>863</v>
      </c>
      <c r="B63" s="195" t="s">
        <v>418</v>
      </c>
      <c r="C63" s="124" t="s">
        <v>1361</v>
      </c>
      <c r="D63" s="98"/>
      <c r="E63" s="99" t="s">
        <v>1689</v>
      </c>
      <c r="F63" s="99" t="s">
        <v>1689</v>
      </c>
      <c r="H63" s="221"/>
      <c r="I63" s="221"/>
      <c r="J63" s="209"/>
      <c r="T63" s="130"/>
      <c r="U63" s="130"/>
      <c r="V63" s="130"/>
      <c r="W63" s="130"/>
      <c r="X63" s="130"/>
      <c r="Y63" s="130"/>
    </row>
    <row r="64" spans="1:25" s="84" customFormat="1" ht="30">
      <c r="A64" s="95" t="s">
        <v>864</v>
      </c>
      <c r="B64" s="195" t="s">
        <v>418</v>
      </c>
      <c r="C64" s="124" t="s">
        <v>1362</v>
      </c>
      <c r="D64" s="98"/>
      <c r="E64" s="99" t="s">
        <v>1689</v>
      </c>
      <c r="F64" s="99" t="s">
        <v>1689</v>
      </c>
      <c r="H64" s="221"/>
      <c r="I64" s="221"/>
      <c r="J64" s="209"/>
      <c r="T64" s="130"/>
      <c r="U64" s="130"/>
      <c r="V64" s="130"/>
      <c r="W64" s="130"/>
      <c r="X64" s="130"/>
      <c r="Y64" s="130"/>
    </row>
    <row r="65" spans="1:25" s="84" customFormat="1" ht="30">
      <c r="A65" s="95" t="s">
        <v>865</v>
      </c>
      <c r="B65" s="195" t="s">
        <v>418</v>
      </c>
      <c r="C65" s="124" t="s">
        <v>1363</v>
      </c>
      <c r="D65" s="98"/>
      <c r="E65" s="99" t="s">
        <v>1689</v>
      </c>
      <c r="F65" s="99" t="s">
        <v>1689</v>
      </c>
      <c r="H65" s="221"/>
      <c r="I65" s="221"/>
      <c r="J65" s="209"/>
      <c r="T65" s="130"/>
      <c r="U65" s="130"/>
      <c r="V65" s="130"/>
      <c r="W65" s="130"/>
      <c r="X65" s="130"/>
      <c r="Y65" s="130"/>
    </row>
    <row r="66" spans="1:25" s="201" customFormat="1" ht="30">
      <c r="A66" s="115" t="s">
        <v>866</v>
      </c>
      <c r="B66" s="216" t="s">
        <v>418</v>
      </c>
      <c r="C66" s="199" t="s">
        <v>1364</v>
      </c>
      <c r="D66" s="201" t="s">
        <v>1886</v>
      </c>
      <c r="E66" s="137" t="s">
        <v>1689</v>
      </c>
      <c r="F66" s="137"/>
      <c r="G66" s="200" t="s">
        <v>2583</v>
      </c>
      <c r="H66" s="225"/>
      <c r="I66" s="226"/>
      <c r="J66" s="217"/>
      <c r="T66" s="230"/>
      <c r="U66" s="230"/>
      <c r="V66" s="230"/>
      <c r="W66" s="230"/>
      <c r="X66" s="230"/>
      <c r="Y66" s="230"/>
    </row>
    <row r="67" spans="1:25" s="188" customFormat="1" ht="45">
      <c r="A67" s="105" t="s">
        <v>867</v>
      </c>
      <c r="B67" s="197" t="s">
        <v>418</v>
      </c>
      <c r="C67" s="107" t="s">
        <v>241</v>
      </c>
      <c r="D67" s="108" t="s">
        <v>1887</v>
      </c>
      <c r="E67" s="109">
        <v>430</v>
      </c>
      <c r="F67" s="109">
        <v>418</v>
      </c>
      <c r="H67" s="222"/>
      <c r="I67" s="222"/>
      <c r="J67" s="210"/>
      <c r="T67" s="229"/>
      <c r="U67" s="229"/>
      <c r="V67" s="229"/>
      <c r="W67" s="229"/>
      <c r="X67" s="229"/>
      <c r="Y67" s="229"/>
    </row>
    <row r="68" spans="1:25" s="84" customFormat="1" ht="30">
      <c r="A68" s="95" t="s">
        <v>868</v>
      </c>
      <c r="B68" s="195" t="s">
        <v>418</v>
      </c>
      <c r="C68" s="124" t="s">
        <v>242</v>
      </c>
      <c r="D68" s="98"/>
      <c r="E68" s="99" t="s">
        <v>1689</v>
      </c>
      <c r="F68" s="99" t="s">
        <v>1689</v>
      </c>
      <c r="H68" s="221"/>
      <c r="I68" s="221"/>
      <c r="J68" s="209"/>
      <c r="T68" s="130"/>
      <c r="U68" s="130"/>
      <c r="V68" s="130"/>
      <c r="W68" s="130"/>
      <c r="X68" s="130"/>
      <c r="Y68" s="130"/>
    </row>
    <row r="69" spans="1:25" s="84" customFormat="1" ht="30">
      <c r="A69" s="95" t="s">
        <v>869</v>
      </c>
      <c r="B69" s="195" t="s">
        <v>418</v>
      </c>
      <c r="C69" s="124" t="s">
        <v>243</v>
      </c>
      <c r="D69" s="98"/>
      <c r="E69" s="99" t="s">
        <v>1689</v>
      </c>
      <c r="F69" s="99" t="s">
        <v>1689</v>
      </c>
      <c r="H69" s="221"/>
      <c r="I69" s="221"/>
      <c r="J69" s="209"/>
      <c r="T69" s="130"/>
      <c r="U69" s="130"/>
      <c r="V69" s="130"/>
      <c r="W69" s="130"/>
      <c r="X69" s="130"/>
      <c r="Y69" s="130"/>
    </row>
    <row r="70" spans="1:25" s="141" customFormat="1" ht="30">
      <c r="A70" s="115" t="s">
        <v>870</v>
      </c>
      <c r="B70" s="194" t="s">
        <v>418</v>
      </c>
      <c r="C70" s="117" t="s">
        <v>244</v>
      </c>
      <c r="D70" s="118" t="s">
        <v>1888</v>
      </c>
      <c r="E70" s="119">
        <v>80</v>
      </c>
      <c r="F70" s="119">
        <v>78</v>
      </c>
      <c r="G70" s="141" t="s">
        <v>2234</v>
      </c>
      <c r="H70" s="182">
        <v>79.5561954409105</v>
      </c>
      <c r="I70" s="182">
        <v>79.9</v>
      </c>
      <c r="J70" s="172">
        <v>0.25</v>
      </c>
      <c r="K70" s="141" t="s">
        <v>2232</v>
      </c>
      <c r="L70" s="141" t="s">
        <v>2224</v>
      </c>
      <c r="M70" s="141" t="s">
        <v>2233</v>
      </c>
      <c r="N70" s="141" t="s">
        <v>2144</v>
      </c>
      <c r="R70" s="141" t="s">
        <v>2232</v>
      </c>
      <c r="T70" s="143">
        <f>0.661/0.274</f>
        <v>2.4124087591240877</v>
      </c>
      <c r="U70" s="143">
        <v>0.0081</v>
      </c>
      <c r="V70" s="143">
        <f>0.0432/0.274</f>
        <v>0.15766423357664233</v>
      </c>
      <c r="W70" s="143">
        <v>0.00054</v>
      </c>
      <c r="X70" s="143">
        <f>7.3259/0.274</f>
        <v>26.736861313868612</v>
      </c>
      <c r="Y70" s="143">
        <v>0.09208</v>
      </c>
    </row>
    <row r="71" spans="1:25" s="141" customFormat="1" ht="30">
      <c r="A71" s="115" t="s">
        <v>871</v>
      </c>
      <c r="B71" s="194" t="s">
        <v>418</v>
      </c>
      <c r="C71" s="117" t="s">
        <v>245</v>
      </c>
      <c r="D71" s="118" t="s">
        <v>2584</v>
      </c>
      <c r="E71" s="119">
        <v>210</v>
      </c>
      <c r="F71" s="119">
        <v>204</v>
      </c>
      <c r="G71" s="141" t="s">
        <v>2263</v>
      </c>
      <c r="H71" s="182">
        <v>785.6049837656868</v>
      </c>
      <c r="I71" s="182">
        <v>789</v>
      </c>
      <c r="J71" s="172">
        <v>0.25</v>
      </c>
      <c r="K71" s="141" t="s">
        <v>2259</v>
      </c>
      <c r="L71" s="141" t="s">
        <v>2224</v>
      </c>
      <c r="M71" s="141" t="s">
        <v>2260</v>
      </c>
      <c r="N71" s="141" t="s">
        <v>1751</v>
      </c>
      <c r="R71" s="141" t="s">
        <v>2394</v>
      </c>
      <c r="T71" s="143">
        <f>5.9483/2</f>
        <v>2.97415</v>
      </c>
      <c r="U71" s="143">
        <v>0.00757</v>
      </c>
      <c r="V71" s="143">
        <f>0.3776/2</f>
        <v>0.1888</v>
      </c>
      <c r="W71" s="143">
        <v>0.00048</v>
      </c>
      <c r="X71" s="143">
        <f>41.2192/2</f>
        <v>20.6096</v>
      </c>
      <c r="Y71" s="143">
        <v>0.05247</v>
      </c>
    </row>
    <row r="72" spans="1:25" s="188" customFormat="1" ht="30">
      <c r="A72" s="105" t="s">
        <v>872</v>
      </c>
      <c r="B72" s="197" t="s">
        <v>418</v>
      </c>
      <c r="C72" s="107" t="s">
        <v>246</v>
      </c>
      <c r="D72" s="108" t="s">
        <v>1889</v>
      </c>
      <c r="E72" s="109" t="s">
        <v>1689</v>
      </c>
      <c r="F72" s="109" t="s">
        <v>1689</v>
      </c>
      <c r="H72" s="222"/>
      <c r="I72" s="222"/>
      <c r="J72" s="210"/>
      <c r="T72" s="229"/>
      <c r="U72" s="229"/>
      <c r="V72" s="229"/>
      <c r="W72" s="229"/>
      <c r="X72" s="229"/>
      <c r="Y72" s="229"/>
    </row>
    <row r="73" spans="1:25" s="84" customFormat="1" ht="30">
      <c r="A73" s="95" t="s">
        <v>873</v>
      </c>
      <c r="B73" s="195" t="s">
        <v>418</v>
      </c>
      <c r="C73" s="124" t="s">
        <v>247</v>
      </c>
      <c r="D73" s="98"/>
      <c r="E73" s="99" t="s">
        <v>1689</v>
      </c>
      <c r="F73" s="99" t="s">
        <v>1689</v>
      </c>
      <c r="H73" s="221"/>
      <c r="I73" s="221"/>
      <c r="J73" s="209"/>
      <c r="T73" s="130"/>
      <c r="U73" s="130"/>
      <c r="V73" s="130"/>
      <c r="W73" s="130"/>
      <c r="X73" s="130"/>
      <c r="Y73" s="130"/>
    </row>
    <row r="74" spans="1:25" s="84" customFormat="1" ht="30">
      <c r="A74" s="95" t="s">
        <v>874</v>
      </c>
      <c r="B74" s="195" t="s">
        <v>418</v>
      </c>
      <c r="C74" s="124" t="s">
        <v>248</v>
      </c>
      <c r="D74" s="98"/>
      <c r="E74" s="99" t="s">
        <v>1689</v>
      </c>
      <c r="F74" s="99" t="s">
        <v>1689</v>
      </c>
      <c r="H74" s="221"/>
      <c r="I74" s="221"/>
      <c r="J74" s="209"/>
      <c r="T74" s="130"/>
      <c r="U74" s="130"/>
      <c r="V74" s="130"/>
      <c r="W74" s="130"/>
      <c r="X74" s="130"/>
      <c r="Y74" s="130"/>
    </row>
    <row r="75" spans="1:25" s="141" customFormat="1" ht="42.75">
      <c r="A75" s="115" t="s">
        <v>875</v>
      </c>
      <c r="B75" s="194" t="s">
        <v>418</v>
      </c>
      <c r="C75" s="117" t="s">
        <v>249</v>
      </c>
      <c r="D75" s="118" t="s">
        <v>1890</v>
      </c>
      <c r="E75" s="119">
        <v>1010</v>
      </c>
      <c r="F75" s="119">
        <v>981</v>
      </c>
      <c r="G75" s="141" t="s">
        <v>2217</v>
      </c>
      <c r="H75" s="182">
        <v>447.067981889472</v>
      </c>
      <c r="I75" s="182">
        <v>449</v>
      </c>
      <c r="J75" s="172">
        <v>0.25</v>
      </c>
      <c r="K75" s="141" t="s">
        <v>2219</v>
      </c>
      <c r="L75" s="141" t="s">
        <v>2218</v>
      </c>
      <c r="M75" s="141" t="s">
        <v>2245</v>
      </c>
      <c r="N75" s="141" t="s">
        <v>2192</v>
      </c>
      <c r="R75" s="141" t="s">
        <v>2219</v>
      </c>
      <c r="T75" s="143">
        <f>7.985/2.412</f>
        <v>3.3105306799336653</v>
      </c>
      <c r="U75" s="143">
        <v>0.01786</v>
      </c>
      <c r="V75" s="143">
        <f>0.4622/2.412</f>
        <v>0.1916252072968491</v>
      </c>
      <c r="W75" s="143">
        <v>0.00103</v>
      </c>
      <c r="X75" s="143">
        <f>6840.9596/2.412</f>
        <v>2836.218739635158</v>
      </c>
      <c r="Y75" s="143">
        <v>15.30176</v>
      </c>
    </row>
    <row r="76" spans="1:25" s="141" customFormat="1" ht="42.75">
      <c r="A76" s="115" t="s">
        <v>876</v>
      </c>
      <c r="B76" s="194" t="s">
        <v>418</v>
      </c>
      <c r="C76" s="117" t="s">
        <v>250</v>
      </c>
      <c r="D76" s="118" t="s">
        <v>1891</v>
      </c>
      <c r="E76" s="119">
        <v>0</v>
      </c>
      <c r="F76" s="119">
        <v>0</v>
      </c>
      <c r="G76" s="141" t="s">
        <v>2585</v>
      </c>
      <c r="H76" s="182">
        <v>0</v>
      </c>
      <c r="I76" s="182"/>
      <c r="J76" s="172"/>
      <c r="T76" s="143"/>
      <c r="U76" s="143"/>
      <c r="V76" s="143"/>
      <c r="W76" s="143"/>
      <c r="X76" s="143"/>
      <c r="Y76" s="143"/>
    </row>
    <row r="77" spans="1:25" s="141" customFormat="1" ht="42.75">
      <c r="A77" s="115" t="s">
        <v>877</v>
      </c>
      <c r="B77" s="194" t="s">
        <v>418</v>
      </c>
      <c r="C77" s="117" t="s">
        <v>251</v>
      </c>
      <c r="D77" s="118" t="s">
        <v>2223</v>
      </c>
      <c r="E77" s="119">
        <v>1490</v>
      </c>
      <c r="F77" s="119">
        <v>1447</v>
      </c>
      <c r="G77" s="141" t="s">
        <v>2586</v>
      </c>
      <c r="H77" s="182">
        <v>98.57400936983903</v>
      </c>
      <c r="I77" s="182">
        <v>99</v>
      </c>
      <c r="J77" s="172">
        <v>0.25</v>
      </c>
      <c r="K77" s="141" t="s">
        <v>2235</v>
      </c>
      <c r="L77" s="141" t="s">
        <v>2236</v>
      </c>
      <c r="M77" s="141" t="s">
        <v>2277</v>
      </c>
      <c r="N77" s="141" t="s">
        <v>2145</v>
      </c>
      <c r="O77" s="141" t="s">
        <v>1729</v>
      </c>
      <c r="P77" s="141" t="s">
        <v>2278</v>
      </c>
      <c r="R77" s="141" t="s">
        <v>2279</v>
      </c>
      <c r="T77" s="143">
        <f>4.3726/0.316</f>
        <v>13.8373417721519</v>
      </c>
      <c r="U77" s="143">
        <v>0.04436</v>
      </c>
      <c r="V77" s="143">
        <f>1.7538/0.316</f>
        <v>5.55</v>
      </c>
      <c r="W77" s="143">
        <v>0.01779</v>
      </c>
      <c r="X77" s="143">
        <f>1189.356363/0.396</f>
        <v>3003.4251590909093</v>
      </c>
      <c r="Y77" s="143">
        <v>12.06611</v>
      </c>
    </row>
    <row r="78" spans="1:25" s="188" customFormat="1" ht="30">
      <c r="A78" s="105" t="s">
        <v>878</v>
      </c>
      <c r="B78" s="197" t="s">
        <v>194</v>
      </c>
      <c r="C78" s="107" t="s">
        <v>252</v>
      </c>
      <c r="D78" s="108"/>
      <c r="E78" s="109">
        <v>3270</v>
      </c>
      <c r="F78" s="109">
        <v>3034</v>
      </c>
      <c r="H78" s="222"/>
      <c r="I78" s="222"/>
      <c r="J78" s="210"/>
      <c r="T78" s="229"/>
      <c r="U78" s="229"/>
      <c r="V78" s="229"/>
      <c r="W78" s="229"/>
      <c r="X78" s="229"/>
      <c r="Y78" s="229"/>
    </row>
    <row r="79" spans="1:25" s="141" customFormat="1" ht="28.5">
      <c r="A79" s="115" t="s">
        <v>879</v>
      </c>
      <c r="B79" s="194" t="s">
        <v>194</v>
      </c>
      <c r="C79" s="117" t="s">
        <v>253</v>
      </c>
      <c r="D79" s="118" t="s">
        <v>1892</v>
      </c>
      <c r="E79" s="141" t="s">
        <v>1689</v>
      </c>
      <c r="F79" s="141" t="s">
        <v>1689</v>
      </c>
      <c r="G79" s="141" t="s">
        <v>2316</v>
      </c>
      <c r="H79" s="182">
        <v>415.6345534995977</v>
      </c>
      <c r="I79" s="182">
        <v>399</v>
      </c>
      <c r="J79" s="172">
        <v>0.25</v>
      </c>
      <c r="K79" s="141" t="s">
        <v>2269</v>
      </c>
      <c r="L79" s="141" t="s">
        <v>2264</v>
      </c>
      <c r="M79" s="141" t="s">
        <v>2270</v>
      </c>
      <c r="N79" s="141" t="s">
        <v>1751</v>
      </c>
      <c r="R79" s="141" t="s">
        <v>2398</v>
      </c>
      <c r="T79" s="143">
        <f>20.8702/8</f>
        <v>2.608775</v>
      </c>
      <c r="U79" s="143">
        <v>0.05021</v>
      </c>
      <c r="V79" s="143">
        <f>0.6283/8</f>
        <v>0.0785375</v>
      </c>
      <c r="W79" s="143">
        <v>0.00151</v>
      </c>
      <c r="X79" s="143">
        <f>7476.243/8</f>
        <v>934.530375</v>
      </c>
      <c r="Y79" s="143">
        <v>17.98774</v>
      </c>
    </row>
    <row r="80" spans="1:25" s="84" customFormat="1" ht="30">
      <c r="A80" s="95" t="s">
        <v>880</v>
      </c>
      <c r="B80" s="195" t="s">
        <v>418</v>
      </c>
      <c r="C80" s="124" t="s">
        <v>254</v>
      </c>
      <c r="D80" s="98"/>
      <c r="E80" s="99" t="s">
        <v>1689</v>
      </c>
      <c r="F80" s="99" t="s">
        <v>1689</v>
      </c>
      <c r="H80" s="221"/>
      <c r="I80" s="221"/>
      <c r="J80" s="209"/>
      <c r="T80" s="130"/>
      <c r="U80" s="130"/>
      <c r="V80" s="130"/>
      <c r="W80" s="130"/>
      <c r="X80" s="130"/>
      <c r="Y80" s="130"/>
    </row>
    <row r="81" spans="1:25" s="84" customFormat="1" ht="30">
      <c r="A81" s="95" t="s">
        <v>881</v>
      </c>
      <c r="B81" s="195" t="s">
        <v>194</v>
      </c>
      <c r="C81" s="124" t="s">
        <v>255</v>
      </c>
      <c r="D81" s="98"/>
      <c r="E81" s="99">
        <v>270</v>
      </c>
      <c r="F81" s="99">
        <v>251</v>
      </c>
      <c r="H81" s="221"/>
      <c r="I81" s="221"/>
      <c r="J81" s="209"/>
      <c r="T81" s="130"/>
      <c r="U81" s="130"/>
      <c r="V81" s="130"/>
      <c r="W81" s="130"/>
      <c r="X81" s="130"/>
      <c r="Y81" s="130"/>
    </row>
    <row r="82" spans="1:25" s="141" customFormat="1" ht="42.75">
      <c r="A82" s="115" t="s">
        <v>882</v>
      </c>
      <c r="B82" s="194" t="s">
        <v>418</v>
      </c>
      <c r="C82" s="117" t="s">
        <v>256</v>
      </c>
      <c r="D82" s="118" t="s">
        <v>1893</v>
      </c>
      <c r="E82" s="119">
        <v>2070</v>
      </c>
      <c r="F82" s="119">
        <v>1921</v>
      </c>
      <c r="G82" s="218" t="s">
        <v>2448</v>
      </c>
      <c r="H82" s="182">
        <v>235.94292322721523</v>
      </c>
      <c r="I82" s="182">
        <v>226.5</v>
      </c>
      <c r="J82" s="172">
        <v>0.25</v>
      </c>
      <c r="K82" s="141" t="s">
        <v>2445</v>
      </c>
      <c r="L82" s="141" t="s">
        <v>2446</v>
      </c>
      <c r="M82" s="141" t="s">
        <v>2447</v>
      </c>
      <c r="N82" s="141" t="s">
        <v>2587</v>
      </c>
      <c r="R82" s="141" t="s">
        <v>2445</v>
      </c>
      <c r="T82" s="143">
        <f>3.4965/1</f>
        <v>3.4965</v>
      </c>
      <c r="U82" s="143">
        <v>0.01482</v>
      </c>
      <c r="V82" s="143">
        <f>0.2683/1</f>
        <v>0.2683</v>
      </c>
      <c r="W82" s="143">
        <v>0.00114</v>
      </c>
      <c r="X82" s="143">
        <f>32.6988/1</f>
        <v>32.6988</v>
      </c>
      <c r="Y82" s="143">
        <v>0.13859</v>
      </c>
    </row>
    <row r="83" spans="1:25" s="84" customFormat="1" ht="28.5">
      <c r="A83" s="95" t="s">
        <v>883</v>
      </c>
      <c r="B83" s="195" t="s">
        <v>418</v>
      </c>
      <c r="C83" s="124" t="s">
        <v>256</v>
      </c>
      <c r="D83" s="98"/>
      <c r="E83" s="99">
        <v>2070</v>
      </c>
      <c r="F83" s="99">
        <v>1921</v>
      </c>
      <c r="H83" s="221"/>
      <c r="I83" s="221"/>
      <c r="J83" s="209"/>
      <c r="T83" s="130"/>
      <c r="U83" s="130"/>
      <c r="V83" s="130"/>
      <c r="W83" s="130"/>
      <c r="X83" s="130"/>
      <c r="Y83" s="130"/>
    </row>
    <row r="84" spans="1:25" s="188" customFormat="1" ht="60">
      <c r="A84" s="105" t="s">
        <v>884</v>
      </c>
      <c r="B84" s="197" t="s">
        <v>418</v>
      </c>
      <c r="C84" s="107" t="s">
        <v>257</v>
      </c>
      <c r="D84" s="108" t="s">
        <v>1894</v>
      </c>
      <c r="E84" s="109">
        <v>2340</v>
      </c>
      <c r="F84" s="109">
        <v>2409</v>
      </c>
      <c r="H84" s="222"/>
      <c r="I84" s="222"/>
      <c r="J84" s="210"/>
      <c r="T84" s="229"/>
      <c r="U84" s="229"/>
      <c r="V84" s="229"/>
      <c r="W84" s="229"/>
      <c r="X84" s="229"/>
      <c r="Y84" s="229"/>
    </row>
    <row r="85" spans="1:25" s="141" customFormat="1" ht="29.25">
      <c r="A85" s="115" t="s">
        <v>885</v>
      </c>
      <c r="B85" s="194" t="s">
        <v>418</v>
      </c>
      <c r="C85" s="117" t="s">
        <v>258</v>
      </c>
      <c r="D85" s="118" t="s">
        <v>1895</v>
      </c>
      <c r="E85" s="119">
        <v>2150</v>
      </c>
      <c r="F85" s="119">
        <v>2213</v>
      </c>
      <c r="G85" s="141" t="s">
        <v>2237</v>
      </c>
      <c r="H85" s="182">
        <v>19.305693618849816</v>
      </c>
      <c r="I85" s="182">
        <v>19.9</v>
      </c>
      <c r="J85" s="172">
        <v>0.25</v>
      </c>
      <c r="K85" s="141" t="s">
        <v>2294</v>
      </c>
      <c r="L85" s="141" t="s">
        <v>2472</v>
      </c>
      <c r="M85" s="141" t="s">
        <v>2515</v>
      </c>
      <c r="N85" s="141" t="s">
        <v>2099</v>
      </c>
      <c r="O85" s="141" t="s">
        <v>1729</v>
      </c>
      <c r="P85" s="141" t="s">
        <v>2292</v>
      </c>
      <c r="R85" s="141" t="s">
        <v>2293</v>
      </c>
      <c r="T85" s="143">
        <f>1.3772/0.75</f>
        <v>1.8362666666666667</v>
      </c>
      <c r="U85" s="143">
        <v>0.07132</v>
      </c>
      <c r="V85" s="143">
        <f>2.4677/0.75</f>
        <v>3.2902666666666662</v>
      </c>
      <c r="W85" s="143">
        <v>0.12779</v>
      </c>
      <c r="X85" s="143">
        <f>3488.3877/0.75</f>
        <v>4651.1836</v>
      </c>
      <c r="Y85" s="143">
        <v>180.65187</v>
      </c>
    </row>
    <row r="86" spans="1:25" s="144" customFormat="1" ht="43.5">
      <c r="A86" s="95" t="s">
        <v>886</v>
      </c>
      <c r="B86" s="195" t="s">
        <v>418</v>
      </c>
      <c r="C86" s="97" t="s">
        <v>259</v>
      </c>
      <c r="D86" s="170"/>
      <c r="E86" s="171">
        <v>780</v>
      </c>
      <c r="F86" s="171">
        <v>803</v>
      </c>
      <c r="G86" s="144" t="s">
        <v>1705</v>
      </c>
      <c r="H86" s="223"/>
      <c r="I86" s="221"/>
      <c r="J86" s="211"/>
      <c r="T86" s="186"/>
      <c r="U86" s="186"/>
      <c r="V86" s="186"/>
      <c r="W86" s="186"/>
      <c r="X86" s="186"/>
      <c r="Y86" s="186"/>
    </row>
    <row r="87" spans="1:25" s="141" customFormat="1" ht="29.25">
      <c r="A87" s="115" t="s">
        <v>887</v>
      </c>
      <c r="B87" s="194" t="s">
        <v>418</v>
      </c>
      <c r="C87" s="117" t="s">
        <v>260</v>
      </c>
      <c r="D87" s="118" t="s">
        <v>1896</v>
      </c>
      <c r="E87" s="119">
        <v>1370</v>
      </c>
      <c r="F87" s="119">
        <v>1410</v>
      </c>
      <c r="G87" s="141" t="s">
        <v>2222</v>
      </c>
      <c r="H87" s="182">
        <v>12.563252882618348</v>
      </c>
      <c r="I87" s="182">
        <v>12.95</v>
      </c>
      <c r="J87" s="172">
        <v>0.25</v>
      </c>
      <c r="K87" s="141" t="s">
        <v>2220</v>
      </c>
      <c r="L87" s="141" t="s">
        <v>1715</v>
      </c>
      <c r="M87" s="141" t="s">
        <v>2504</v>
      </c>
      <c r="N87" s="141" t="s">
        <v>1751</v>
      </c>
      <c r="O87" s="141" t="s">
        <v>1729</v>
      </c>
      <c r="P87" s="141" t="s">
        <v>2221</v>
      </c>
      <c r="R87" s="141" t="s">
        <v>2280</v>
      </c>
      <c r="T87" s="143">
        <f>0.959/0.16</f>
        <v>5.9937499999999995</v>
      </c>
      <c r="U87" s="143">
        <v>0.07635</v>
      </c>
      <c r="V87" s="143">
        <f>0.0531/0.16</f>
        <v>0.331875</v>
      </c>
      <c r="W87" s="143">
        <v>0.00423</v>
      </c>
      <c r="X87" s="143">
        <f>109.6532/0.16</f>
        <v>685.3325</v>
      </c>
      <c r="Y87" s="143">
        <v>8.73035</v>
      </c>
    </row>
    <row r="88" spans="1:25" s="84" customFormat="1" ht="43.5">
      <c r="A88" s="95" t="s">
        <v>888</v>
      </c>
      <c r="B88" s="195" t="s">
        <v>418</v>
      </c>
      <c r="C88" s="98" t="s">
        <v>261</v>
      </c>
      <c r="D88" s="98"/>
      <c r="E88" s="99">
        <v>760</v>
      </c>
      <c r="F88" s="99">
        <v>782</v>
      </c>
      <c r="H88" s="221"/>
      <c r="I88" s="221"/>
      <c r="J88" s="209"/>
      <c r="T88" s="130"/>
      <c r="U88" s="130"/>
      <c r="V88" s="130"/>
      <c r="W88" s="130"/>
      <c r="X88" s="130"/>
      <c r="Y88" s="130"/>
    </row>
    <row r="89" spans="1:25" s="84" customFormat="1" ht="30">
      <c r="A89" s="95" t="s">
        <v>889</v>
      </c>
      <c r="B89" s="195" t="s">
        <v>418</v>
      </c>
      <c r="C89" s="124" t="s">
        <v>262</v>
      </c>
      <c r="D89" s="98"/>
      <c r="E89" s="99">
        <v>170</v>
      </c>
      <c r="F89" s="99">
        <v>175</v>
      </c>
      <c r="H89" s="221"/>
      <c r="I89" s="221"/>
      <c r="J89" s="209"/>
      <c r="T89" s="130"/>
      <c r="U89" s="130"/>
      <c r="V89" s="130"/>
      <c r="W89" s="130"/>
      <c r="X89" s="130"/>
      <c r="Y89" s="130"/>
    </row>
    <row r="90" spans="1:25" s="84" customFormat="1" ht="30">
      <c r="A90" s="95" t="s">
        <v>890</v>
      </c>
      <c r="B90" s="195" t="s">
        <v>418</v>
      </c>
      <c r="C90" s="124" t="s">
        <v>263</v>
      </c>
      <c r="D90" s="98"/>
      <c r="E90" s="99">
        <v>440</v>
      </c>
      <c r="F90" s="99">
        <v>453</v>
      </c>
      <c r="H90" s="221"/>
      <c r="I90" s="221"/>
      <c r="J90" s="209"/>
      <c r="T90" s="130"/>
      <c r="U90" s="130"/>
      <c r="V90" s="130"/>
      <c r="W90" s="130"/>
      <c r="X90" s="130"/>
      <c r="Y90" s="130"/>
    </row>
    <row r="91" spans="1:25" s="188" customFormat="1" ht="45">
      <c r="A91" s="105" t="s">
        <v>891</v>
      </c>
      <c r="B91" s="197" t="s">
        <v>418</v>
      </c>
      <c r="C91" s="107" t="s">
        <v>264</v>
      </c>
      <c r="D91" s="108" t="s">
        <v>1897</v>
      </c>
      <c r="E91" s="109" t="s">
        <v>1689</v>
      </c>
      <c r="F91" s="109" t="s">
        <v>1689</v>
      </c>
      <c r="H91" s="222"/>
      <c r="I91" s="222"/>
      <c r="J91" s="210"/>
      <c r="T91" s="229"/>
      <c r="U91" s="229"/>
      <c r="V91" s="229"/>
      <c r="W91" s="229"/>
      <c r="X91" s="229"/>
      <c r="Y91" s="229"/>
    </row>
    <row r="92" spans="1:25" s="84" customFormat="1" ht="15">
      <c r="A92" s="95" t="s">
        <v>892</v>
      </c>
      <c r="B92" s="195" t="s">
        <v>418</v>
      </c>
      <c r="C92" s="124" t="s">
        <v>265</v>
      </c>
      <c r="D92" s="98"/>
      <c r="E92" s="99" t="s">
        <v>1689</v>
      </c>
      <c r="F92" s="99" t="s">
        <v>1689</v>
      </c>
      <c r="H92" s="221"/>
      <c r="I92" s="221"/>
      <c r="J92" s="209"/>
      <c r="T92" s="130"/>
      <c r="U92" s="130"/>
      <c r="V92" s="130"/>
      <c r="W92" s="130"/>
      <c r="X92" s="130"/>
      <c r="Y92" s="130"/>
    </row>
    <row r="93" spans="1:25" s="84" customFormat="1" ht="29.25">
      <c r="A93" s="95" t="s">
        <v>893</v>
      </c>
      <c r="B93" s="195" t="s">
        <v>418</v>
      </c>
      <c r="C93" s="124" t="s">
        <v>266</v>
      </c>
      <c r="D93" s="98"/>
      <c r="E93" s="99" t="s">
        <v>1689</v>
      </c>
      <c r="F93" s="99" t="s">
        <v>1689</v>
      </c>
      <c r="H93" s="221"/>
      <c r="I93" s="221"/>
      <c r="J93" s="209"/>
      <c r="T93" s="130"/>
      <c r="U93" s="130"/>
      <c r="V93" s="130"/>
      <c r="W93" s="130"/>
      <c r="X93" s="130"/>
      <c r="Y93" s="130"/>
    </row>
    <row r="94" spans="1:25" s="84" customFormat="1" ht="30">
      <c r="A94" s="95" t="s">
        <v>894</v>
      </c>
      <c r="B94" s="195" t="s">
        <v>418</v>
      </c>
      <c r="C94" s="124" t="s">
        <v>267</v>
      </c>
      <c r="D94" s="98"/>
      <c r="E94" s="99">
        <v>0</v>
      </c>
      <c r="F94" s="99">
        <v>0</v>
      </c>
      <c r="H94" s="221"/>
      <c r="I94" s="221"/>
      <c r="J94" s="209"/>
      <c r="T94" s="130"/>
      <c r="U94" s="130"/>
      <c r="V94" s="130"/>
      <c r="W94" s="130"/>
      <c r="X94" s="130"/>
      <c r="Y94" s="130"/>
    </row>
    <row r="95" spans="1:25" s="84" customFormat="1" ht="30">
      <c r="A95" s="95" t="s">
        <v>895</v>
      </c>
      <c r="B95" s="195" t="s">
        <v>418</v>
      </c>
      <c r="C95" s="124" t="s">
        <v>268</v>
      </c>
      <c r="D95" s="98"/>
      <c r="E95" s="99" t="s">
        <v>1689</v>
      </c>
      <c r="F95" s="99" t="s">
        <v>1689</v>
      </c>
      <c r="H95" s="221"/>
      <c r="I95" s="221"/>
      <c r="J95" s="209"/>
      <c r="T95" s="130"/>
      <c r="U95" s="130"/>
      <c r="V95" s="130"/>
      <c r="W95" s="130"/>
      <c r="X95" s="130"/>
      <c r="Y95" s="130"/>
    </row>
    <row r="96" spans="1:25" s="84" customFormat="1" ht="30">
      <c r="A96" s="95" t="s">
        <v>896</v>
      </c>
      <c r="B96" s="195" t="s">
        <v>418</v>
      </c>
      <c r="C96" s="97" t="s">
        <v>269</v>
      </c>
      <c r="D96" s="98"/>
      <c r="E96" s="99">
        <v>0</v>
      </c>
      <c r="F96" s="99">
        <v>0</v>
      </c>
      <c r="H96" s="221"/>
      <c r="I96" s="221"/>
      <c r="J96" s="209"/>
      <c r="T96" s="130"/>
      <c r="U96" s="130"/>
      <c r="V96" s="130"/>
      <c r="W96" s="130"/>
      <c r="X96" s="130"/>
      <c r="Y96" s="130"/>
    </row>
    <row r="97" spans="1:25" s="84" customFormat="1" ht="30">
      <c r="A97" s="173" t="s">
        <v>1660</v>
      </c>
      <c r="B97" s="195" t="s">
        <v>418</v>
      </c>
      <c r="C97" s="97" t="s">
        <v>1659</v>
      </c>
      <c r="D97" s="98"/>
      <c r="E97" s="99">
        <v>0</v>
      </c>
      <c r="F97" s="99">
        <v>0</v>
      </c>
      <c r="H97" s="221"/>
      <c r="I97" s="221"/>
      <c r="J97" s="209"/>
      <c r="T97" s="130"/>
      <c r="U97" s="130"/>
      <c r="V97" s="130"/>
      <c r="W97" s="130"/>
      <c r="X97" s="130"/>
      <c r="Y97" s="130"/>
    </row>
    <row r="98" spans="8:25" s="84" customFormat="1" ht="14.25">
      <c r="H98" s="221"/>
      <c r="I98" s="221"/>
      <c r="J98" s="209"/>
      <c r="T98" s="130"/>
      <c r="U98" s="130"/>
      <c r="V98" s="130"/>
      <c r="W98" s="130"/>
      <c r="X98" s="130"/>
      <c r="Y98" s="130"/>
    </row>
    <row r="99" spans="1:25" s="181" customFormat="1" ht="14.25">
      <c r="A99" s="181" t="s">
        <v>2591</v>
      </c>
      <c r="H99" s="224"/>
      <c r="I99" s="224"/>
      <c r="J99" s="213"/>
      <c r="T99" s="187"/>
      <c r="U99" s="187"/>
      <c r="V99" s="187"/>
      <c r="W99" s="187"/>
      <c r="X99" s="187"/>
      <c r="Y99" s="187"/>
    </row>
    <row r="100" spans="1:25" s="181" customFormat="1" ht="14.25">
      <c r="A100" s="181" t="s">
        <v>2588</v>
      </c>
      <c r="C100" s="181" t="s">
        <v>2593</v>
      </c>
      <c r="G100" s="181" t="s">
        <v>1706</v>
      </c>
      <c r="H100" s="224"/>
      <c r="I100" s="224"/>
      <c r="J100" s="213">
        <v>0.25</v>
      </c>
      <c r="S100" s="181" t="s">
        <v>413</v>
      </c>
      <c r="T100" s="187"/>
      <c r="U100" s="187">
        <v>0.0122</v>
      </c>
      <c r="V100" s="187" t="s">
        <v>413</v>
      </c>
      <c r="W100" s="187">
        <v>0.00149</v>
      </c>
      <c r="X100" s="187" t="s">
        <v>413</v>
      </c>
      <c r="Y100" s="187">
        <v>0.00149</v>
      </c>
    </row>
    <row r="101" spans="1:25" s="181" customFormat="1" ht="14.25">
      <c r="A101" s="181" t="s">
        <v>2589</v>
      </c>
      <c r="C101" s="181" t="s">
        <v>2594</v>
      </c>
      <c r="G101" s="181" t="s">
        <v>1707</v>
      </c>
      <c r="H101" s="224"/>
      <c r="I101" s="224"/>
      <c r="J101" s="213">
        <v>0.25</v>
      </c>
      <c r="T101" s="187" t="s">
        <v>413</v>
      </c>
      <c r="U101" s="187">
        <v>0.02184</v>
      </c>
      <c r="V101" s="187" t="s">
        <v>413</v>
      </c>
      <c r="W101" s="187">
        <v>0.00233</v>
      </c>
      <c r="X101" s="187" t="s">
        <v>413</v>
      </c>
      <c r="Y101" s="187">
        <v>0.00391</v>
      </c>
    </row>
    <row r="102" spans="1:25" s="181" customFormat="1" ht="14.25">
      <c r="A102" s="181" t="s">
        <v>2590</v>
      </c>
      <c r="C102" s="181" t="s">
        <v>2596</v>
      </c>
      <c r="G102" s="181" t="s">
        <v>2592</v>
      </c>
      <c r="H102" s="224"/>
      <c r="I102" s="224"/>
      <c r="J102" s="213">
        <v>0.25</v>
      </c>
      <c r="T102" s="187" t="s">
        <v>413</v>
      </c>
      <c r="U102" s="187">
        <v>0.00134</v>
      </c>
      <c r="V102" s="187" t="s">
        <v>413</v>
      </c>
      <c r="W102" s="187">
        <v>0</v>
      </c>
      <c r="X102" s="187" t="s">
        <v>413</v>
      </c>
      <c r="Y102" s="187">
        <v>0</v>
      </c>
    </row>
    <row r="103" spans="8:25" s="84" customFormat="1" ht="14.25">
      <c r="H103" s="221"/>
      <c r="I103" s="221"/>
      <c r="J103" s="209"/>
      <c r="T103" s="130"/>
      <c r="U103" s="130"/>
      <c r="V103" s="130"/>
      <c r="W103" s="130"/>
      <c r="X103" s="130"/>
      <c r="Y103" s="130"/>
    </row>
    <row r="104" spans="8:25" s="84" customFormat="1" ht="14.25">
      <c r="H104" s="221"/>
      <c r="I104" s="221"/>
      <c r="J104" s="209"/>
      <c r="T104" s="130"/>
      <c r="U104" s="130"/>
      <c r="V104" s="130"/>
      <c r="W104" s="130"/>
      <c r="X104" s="130"/>
      <c r="Y104" s="130"/>
    </row>
    <row r="105" spans="8:25" s="84" customFormat="1" ht="14.25">
      <c r="H105" s="221"/>
      <c r="I105" s="221"/>
      <c r="J105" s="209"/>
      <c r="T105" s="130"/>
      <c r="U105" s="130"/>
      <c r="V105" s="130"/>
      <c r="W105" s="130"/>
      <c r="X105" s="130"/>
      <c r="Y105" s="130"/>
    </row>
    <row r="106" spans="8:25" s="84" customFormat="1" ht="14.25">
      <c r="H106" s="221"/>
      <c r="I106" s="221"/>
      <c r="J106" s="209"/>
      <c r="T106" s="130"/>
      <c r="U106" s="130"/>
      <c r="V106" s="130"/>
      <c r="W106" s="130"/>
      <c r="X106" s="130"/>
      <c r="Y106" s="130"/>
    </row>
    <row r="107" spans="8:25" s="84" customFormat="1" ht="14.25">
      <c r="H107" s="221"/>
      <c r="I107" s="221"/>
      <c r="J107" s="209"/>
      <c r="T107" s="130"/>
      <c r="U107" s="130"/>
      <c r="V107" s="130"/>
      <c r="W107" s="130"/>
      <c r="X107" s="130"/>
      <c r="Y107" s="130"/>
    </row>
    <row r="108" spans="8:25" s="84" customFormat="1" ht="14.25">
      <c r="H108" s="221"/>
      <c r="I108" s="221"/>
      <c r="J108" s="209"/>
      <c r="T108" s="130"/>
      <c r="U108" s="130"/>
      <c r="V108" s="130"/>
      <c r="W108" s="130"/>
      <c r="X108" s="130"/>
      <c r="Y108" s="130"/>
    </row>
    <row r="109" spans="8:25" s="84" customFormat="1" ht="14.25">
      <c r="H109" s="221"/>
      <c r="I109" s="221"/>
      <c r="J109" s="209"/>
      <c r="T109" s="130"/>
      <c r="U109" s="130"/>
      <c r="V109" s="130"/>
      <c r="W109" s="130"/>
      <c r="X109" s="130"/>
      <c r="Y109" s="130"/>
    </row>
    <row r="110" spans="8:25" s="84" customFormat="1" ht="14.25">
      <c r="H110" s="221"/>
      <c r="I110" s="221"/>
      <c r="J110" s="209"/>
      <c r="T110" s="130"/>
      <c r="U110" s="130"/>
      <c r="V110" s="130"/>
      <c r="W110" s="130"/>
      <c r="X110" s="130"/>
      <c r="Y110" s="130"/>
    </row>
    <row r="111" spans="8:25" s="84" customFormat="1" ht="14.25">
      <c r="H111" s="221"/>
      <c r="I111" s="221"/>
      <c r="J111" s="209"/>
      <c r="T111" s="130"/>
      <c r="U111" s="130"/>
      <c r="V111" s="130"/>
      <c r="W111" s="130"/>
      <c r="X111" s="130"/>
      <c r="Y111" s="130"/>
    </row>
    <row r="112" spans="8:25" s="84" customFormat="1" ht="14.25">
      <c r="H112" s="221"/>
      <c r="I112" s="221"/>
      <c r="J112" s="209"/>
      <c r="T112" s="130"/>
      <c r="U112" s="130"/>
      <c r="V112" s="130"/>
      <c r="W112" s="130"/>
      <c r="X112" s="130"/>
      <c r="Y112" s="130"/>
    </row>
    <row r="113" spans="8:25" s="84" customFormat="1" ht="14.25">
      <c r="H113" s="221"/>
      <c r="I113" s="221"/>
      <c r="J113" s="209"/>
      <c r="T113" s="130"/>
      <c r="U113" s="130"/>
      <c r="V113" s="130"/>
      <c r="W113" s="130"/>
      <c r="X113" s="130"/>
      <c r="Y113" s="130"/>
    </row>
    <row r="114" spans="8:25" s="84" customFormat="1" ht="14.25">
      <c r="H114" s="221"/>
      <c r="I114" s="221"/>
      <c r="J114" s="209"/>
      <c r="T114" s="130"/>
      <c r="U114" s="130"/>
      <c r="V114" s="130"/>
      <c r="W114" s="130"/>
      <c r="X114" s="130"/>
      <c r="Y114" s="130"/>
    </row>
    <row r="115" spans="8:25" s="84" customFormat="1" ht="14.25">
      <c r="H115" s="221"/>
      <c r="I115" s="221"/>
      <c r="J115" s="209"/>
      <c r="T115" s="130"/>
      <c r="U115" s="130"/>
      <c r="V115" s="130"/>
      <c r="W115" s="130"/>
      <c r="X115" s="130"/>
      <c r="Y115" s="130"/>
    </row>
    <row r="116" spans="8:25" s="84" customFormat="1" ht="14.25">
      <c r="H116" s="221"/>
      <c r="I116" s="221"/>
      <c r="J116" s="209"/>
      <c r="T116" s="130"/>
      <c r="U116" s="130"/>
      <c r="V116" s="130"/>
      <c r="W116" s="130"/>
      <c r="X116" s="130"/>
      <c r="Y116" s="130"/>
    </row>
    <row r="117" spans="8:25" s="84" customFormat="1" ht="14.25">
      <c r="H117" s="221"/>
      <c r="I117" s="221"/>
      <c r="J117" s="209"/>
      <c r="T117" s="130"/>
      <c r="U117" s="130"/>
      <c r="V117" s="130"/>
      <c r="W117" s="130"/>
      <c r="X117" s="130"/>
      <c r="Y117" s="130"/>
    </row>
    <row r="118" spans="8:25" s="84" customFormat="1" ht="14.25">
      <c r="H118" s="221"/>
      <c r="I118" s="221"/>
      <c r="J118" s="209"/>
      <c r="T118" s="130"/>
      <c r="U118" s="130"/>
      <c r="V118" s="130"/>
      <c r="W118" s="130"/>
      <c r="X118" s="130"/>
      <c r="Y118" s="130"/>
    </row>
    <row r="119" spans="8:25" s="84" customFormat="1" ht="14.25">
      <c r="H119" s="221"/>
      <c r="I119" s="221"/>
      <c r="J119" s="209"/>
      <c r="T119" s="130"/>
      <c r="U119" s="130"/>
      <c r="V119" s="130"/>
      <c r="W119" s="130"/>
      <c r="X119" s="130"/>
      <c r="Y119" s="130"/>
    </row>
    <row r="120" spans="8:25" s="84" customFormat="1" ht="14.25">
      <c r="H120" s="221"/>
      <c r="I120" s="221"/>
      <c r="J120" s="209"/>
      <c r="T120" s="130"/>
      <c r="U120" s="130"/>
      <c r="V120" s="130"/>
      <c r="W120" s="130"/>
      <c r="X120" s="130"/>
      <c r="Y120" s="130"/>
    </row>
    <row r="121" spans="8:25" s="84" customFormat="1" ht="14.25">
      <c r="H121" s="221"/>
      <c r="I121" s="221"/>
      <c r="J121" s="209"/>
      <c r="T121" s="130"/>
      <c r="U121" s="130"/>
      <c r="V121" s="130"/>
      <c r="W121" s="130"/>
      <c r="X121" s="130"/>
      <c r="Y121" s="130"/>
    </row>
    <row r="122" spans="8:25" s="84" customFormat="1" ht="14.25">
      <c r="H122" s="221"/>
      <c r="I122" s="221"/>
      <c r="J122" s="209"/>
      <c r="T122" s="130"/>
      <c r="U122" s="130"/>
      <c r="V122" s="130"/>
      <c r="W122" s="130"/>
      <c r="X122" s="130"/>
      <c r="Y122" s="130"/>
    </row>
    <row r="123" spans="8:25" s="84" customFormat="1" ht="14.25">
      <c r="H123" s="221"/>
      <c r="I123" s="221"/>
      <c r="J123" s="209"/>
      <c r="T123" s="130"/>
      <c r="U123" s="130"/>
      <c r="V123" s="130"/>
      <c r="W123" s="130"/>
      <c r="X123" s="130"/>
      <c r="Y123" s="130"/>
    </row>
    <row r="124" spans="8:25" s="84" customFormat="1" ht="14.25">
      <c r="H124" s="221"/>
      <c r="I124" s="221"/>
      <c r="J124" s="209"/>
      <c r="T124" s="130"/>
      <c r="U124" s="130"/>
      <c r="V124" s="130"/>
      <c r="W124" s="130"/>
      <c r="X124" s="130"/>
      <c r="Y124" s="130"/>
    </row>
    <row r="125" spans="8:25" s="84" customFormat="1" ht="14.25">
      <c r="H125" s="221"/>
      <c r="I125" s="221"/>
      <c r="J125" s="209"/>
      <c r="T125" s="130"/>
      <c r="U125" s="130"/>
      <c r="V125" s="130"/>
      <c r="W125" s="130"/>
      <c r="X125" s="130"/>
      <c r="Y125" s="130"/>
    </row>
    <row r="126" spans="8:25" s="84" customFormat="1" ht="14.25">
      <c r="H126" s="221"/>
      <c r="I126" s="221"/>
      <c r="J126" s="209"/>
      <c r="T126" s="130"/>
      <c r="U126" s="130"/>
      <c r="V126" s="130"/>
      <c r="W126" s="130"/>
      <c r="X126" s="130"/>
      <c r="Y126" s="130"/>
    </row>
    <row r="127" spans="8:25" s="84" customFormat="1" ht="14.25">
      <c r="H127" s="221"/>
      <c r="I127" s="221"/>
      <c r="J127" s="209"/>
      <c r="T127" s="130"/>
      <c r="U127" s="130"/>
      <c r="V127" s="130"/>
      <c r="W127" s="130"/>
      <c r="X127" s="130"/>
      <c r="Y127" s="130"/>
    </row>
    <row r="128" spans="8:25" s="84" customFormat="1" ht="14.25">
      <c r="H128" s="221"/>
      <c r="I128" s="221"/>
      <c r="J128" s="209"/>
      <c r="T128" s="130"/>
      <c r="U128" s="130"/>
      <c r="V128" s="130"/>
      <c r="W128" s="130"/>
      <c r="X128" s="130"/>
      <c r="Y128" s="130"/>
    </row>
    <row r="129" spans="8:25" s="84" customFormat="1" ht="14.25">
      <c r="H129" s="221"/>
      <c r="I129" s="221"/>
      <c r="J129" s="209"/>
      <c r="T129" s="130"/>
      <c r="U129" s="130"/>
      <c r="V129" s="130"/>
      <c r="W129" s="130"/>
      <c r="X129" s="130"/>
      <c r="Y129" s="130"/>
    </row>
    <row r="130" spans="8:25" s="84" customFormat="1" ht="14.25">
      <c r="H130" s="221"/>
      <c r="I130" s="221"/>
      <c r="J130" s="209"/>
      <c r="T130" s="130"/>
      <c r="U130" s="130"/>
      <c r="V130" s="130"/>
      <c r="W130" s="130"/>
      <c r="X130" s="130"/>
      <c r="Y130" s="130"/>
    </row>
    <row r="131" spans="8:25" s="84" customFormat="1" ht="14.25">
      <c r="H131" s="221"/>
      <c r="I131" s="221"/>
      <c r="J131" s="209"/>
      <c r="T131" s="130"/>
      <c r="U131" s="130"/>
      <c r="V131" s="130"/>
      <c r="W131" s="130"/>
      <c r="X131" s="130"/>
      <c r="Y131" s="130"/>
    </row>
    <row r="132" spans="8:25" s="84" customFormat="1" ht="14.25">
      <c r="H132" s="221"/>
      <c r="I132" s="221"/>
      <c r="J132" s="209"/>
      <c r="T132" s="130"/>
      <c r="U132" s="130"/>
      <c r="V132" s="130"/>
      <c r="W132" s="130"/>
      <c r="X132" s="130"/>
      <c r="Y132" s="130"/>
    </row>
    <row r="133" spans="8:25" s="84" customFormat="1" ht="14.25">
      <c r="H133" s="221"/>
      <c r="I133" s="221"/>
      <c r="J133" s="209"/>
      <c r="T133" s="130"/>
      <c r="U133" s="130"/>
      <c r="V133" s="130"/>
      <c r="W133" s="130"/>
      <c r="X133" s="130"/>
      <c r="Y133" s="130"/>
    </row>
    <row r="134" spans="8:25" s="84" customFormat="1" ht="14.25">
      <c r="H134" s="221"/>
      <c r="I134" s="221"/>
      <c r="J134" s="209"/>
      <c r="T134" s="130"/>
      <c r="U134" s="130"/>
      <c r="V134" s="130"/>
      <c r="W134" s="130"/>
      <c r="X134" s="130"/>
      <c r="Y134" s="130"/>
    </row>
    <row r="135" spans="8:25" s="84" customFormat="1" ht="14.25">
      <c r="H135" s="221"/>
      <c r="I135" s="221"/>
      <c r="J135" s="209"/>
      <c r="T135" s="130"/>
      <c r="U135" s="130"/>
      <c r="V135" s="130"/>
      <c r="W135" s="130"/>
      <c r="X135" s="130"/>
      <c r="Y135" s="130"/>
    </row>
    <row r="136" spans="8:25" s="84" customFormat="1" ht="14.25">
      <c r="H136" s="221"/>
      <c r="I136" s="221"/>
      <c r="J136" s="209"/>
      <c r="T136" s="130"/>
      <c r="U136" s="130"/>
      <c r="V136" s="130"/>
      <c r="W136" s="130"/>
      <c r="X136" s="130"/>
      <c r="Y136" s="130"/>
    </row>
    <row r="137" spans="8:25" s="84" customFormat="1" ht="14.25">
      <c r="H137" s="221"/>
      <c r="I137" s="221"/>
      <c r="J137" s="209"/>
      <c r="T137" s="130"/>
      <c r="U137" s="130"/>
      <c r="V137" s="130"/>
      <c r="W137" s="130"/>
      <c r="X137" s="130"/>
      <c r="Y137" s="130"/>
    </row>
    <row r="138" spans="8:25" s="84" customFormat="1" ht="14.25">
      <c r="H138" s="221"/>
      <c r="I138" s="221"/>
      <c r="J138" s="209"/>
      <c r="T138" s="130"/>
      <c r="U138" s="130"/>
      <c r="V138" s="130"/>
      <c r="W138" s="130"/>
      <c r="X138" s="130"/>
      <c r="Y138" s="130"/>
    </row>
    <row r="139" spans="8:25" s="84" customFormat="1" ht="14.25">
      <c r="H139" s="221"/>
      <c r="I139" s="221"/>
      <c r="J139" s="209"/>
      <c r="T139" s="130"/>
      <c r="U139" s="130"/>
      <c r="V139" s="130"/>
      <c r="W139" s="130"/>
      <c r="X139" s="130"/>
      <c r="Y139" s="130"/>
    </row>
    <row r="140" spans="8:25" s="84" customFormat="1" ht="14.25">
      <c r="H140" s="221"/>
      <c r="I140" s="221"/>
      <c r="J140" s="209"/>
      <c r="T140" s="130"/>
      <c r="U140" s="130"/>
      <c r="V140" s="130"/>
      <c r="W140" s="130"/>
      <c r="X140" s="130"/>
      <c r="Y140" s="130"/>
    </row>
    <row r="141" spans="8:25" s="84" customFormat="1" ht="14.25">
      <c r="H141" s="221"/>
      <c r="I141" s="221"/>
      <c r="J141" s="209"/>
      <c r="T141" s="130"/>
      <c r="U141" s="130"/>
      <c r="V141" s="130"/>
      <c r="W141" s="130"/>
      <c r="X141" s="130"/>
      <c r="Y141" s="130"/>
    </row>
    <row r="142" spans="8:25" s="84" customFormat="1" ht="14.25">
      <c r="H142" s="221"/>
      <c r="I142" s="221"/>
      <c r="J142" s="209"/>
      <c r="T142" s="130"/>
      <c r="U142" s="130"/>
      <c r="V142" s="130"/>
      <c r="W142" s="130"/>
      <c r="X142" s="130"/>
      <c r="Y142" s="130"/>
    </row>
    <row r="143" spans="8:25" s="84" customFormat="1" ht="14.25">
      <c r="H143" s="221"/>
      <c r="I143" s="221"/>
      <c r="J143" s="209"/>
      <c r="T143" s="130"/>
      <c r="U143" s="130"/>
      <c r="V143" s="130"/>
      <c r="W143" s="130"/>
      <c r="X143" s="130"/>
      <c r="Y143" s="130"/>
    </row>
    <row r="144" spans="8:25" s="84" customFormat="1" ht="14.25">
      <c r="H144" s="221"/>
      <c r="I144" s="221"/>
      <c r="J144" s="209"/>
      <c r="T144" s="130"/>
      <c r="U144" s="130"/>
      <c r="V144" s="130"/>
      <c r="W144" s="130"/>
      <c r="X144" s="130"/>
      <c r="Y144" s="130"/>
    </row>
    <row r="145" spans="8:25" s="84" customFormat="1" ht="14.25">
      <c r="H145" s="221"/>
      <c r="I145" s="221"/>
      <c r="J145" s="209"/>
      <c r="T145" s="130"/>
      <c r="U145" s="130"/>
      <c r="V145" s="130"/>
      <c r="W145" s="130"/>
      <c r="X145" s="130"/>
      <c r="Y145" s="130"/>
    </row>
    <row r="146" spans="8:25" s="84" customFormat="1" ht="14.25">
      <c r="H146" s="221"/>
      <c r="I146" s="221"/>
      <c r="J146" s="209"/>
      <c r="T146" s="130"/>
      <c r="U146" s="130"/>
      <c r="V146" s="130"/>
      <c r="W146" s="130"/>
      <c r="X146" s="130"/>
      <c r="Y146" s="130"/>
    </row>
    <row r="147" spans="8:25" s="84" customFormat="1" ht="14.25">
      <c r="H147" s="221"/>
      <c r="I147" s="221"/>
      <c r="J147" s="209"/>
      <c r="T147" s="130"/>
      <c r="U147" s="130"/>
      <c r="V147" s="130"/>
      <c r="W147" s="130"/>
      <c r="X147" s="130"/>
      <c r="Y147" s="130"/>
    </row>
    <row r="148" spans="8:25" s="84" customFormat="1" ht="14.25">
      <c r="H148" s="221"/>
      <c r="I148" s="221"/>
      <c r="J148" s="209"/>
      <c r="T148" s="130"/>
      <c r="U148" s="130"/>
      <c r="V148" s="130"/>
      <c r="W148" s="130"/>
      <c r="X148" s="130"/>
      <c r="Y148" s="130"/>
    </row>
    <row r="149" spans="8:25" s="84" customFormat="1" ht="14.25">
      <c r="H149" s="221"/>
      <c r="I149" s="221"/>
      <c r="J149" s="209"/>
      <c r="T149" s="130"/>
      <c r="U149" s="130"/>
      <c r="V149" s="130"/>
      <c r="W149" s="130"/>
      <c r="X149" s="130"/>
      <c r="Y149" s="130"/>
    </row>
    <row r="150" spans="8:25" s="84" customFormat="1" ht="14.25">
      <c r="H150" s="221"/>
      <c r="I150" s="221"/>
      <c r="J150" s="209"/>
      <c r="T150" s="130"/>
      <c r="U150" s="130"/>
      <c r="V150" s="130"/>
      <c r="W150" s="130"/>
      <c r="X150" s="130"/>
      <c r="Y150" s="130"/>
    </row>
    <row r="151" spans="8:25" s="84" customFormat="1" ht="14.25">
      <c r="H151" s="221"/>
      <c r="I151" s="221"/>
      <c r="J151" s="209"/>
      <c r="T151" s="130"/>
      <c r="U151" s="130"/>
      <c r="V151" s="130"/>
      <c r="W151" s="130"/>
      <c r="X151" s="130"/>
      <c r="Y151" s="130"/>
    </row>
    <row r="152" spans="8:25" s="84" customFormat="1" ht="14.25">
      <c r="H152" s="221"/>
      <c r="I152" s="221"/>
      <c r="J152" s="209"/>
      <c r="T152" s="130"/>
      <c r="U152" s="130"/>
      <c r="V152" s="130"/>
      <c r="W152" s="130"/>
      <c r="X152" s="130"/>
      <c r="Y152" s="130"/>
    </row>
    <row r="153" spans="8:25" s="84" customFormat="1" ht="14.25">
      <c r="H153" s="221"/>
      <c r="I153" s="221"/>
      <c r="J153" s="209"/>
      <c r="T153" s="130"/>
      <c r="U153" s="130"/>
      <c r="V153" s="130"/>
      <c r="W153" s="130"/>
      <c r="X153" s="130"/>
      <c r="Y153" s="130"/>
    </row>
    <row r="154" spans="8:25" s="84" customFormat="1" ht="14.25">
      <c r="H154" s="221"/>
      <c r="I154" s="221"/>
      <c r="J154" s="209"/>
      <c r="T154" s="130"/>
      <c r="U154" s="130"/>
      <c r="V154" s="130"/>
      <c r="W154" s="130"/>
      <c r="X154" s="130"/>
      <c r="Y154" s="130"/>
    </row>
    <row r="155" spans="8:25" s="84" customFormat="1" ht="14.25">
      <c r="H155" s="221"/>
      <c r="I155" s="221"/>
      <c r="J155" s="209"/>
      <c r="T155" s="130"/>
      <c r="U155" s="130"/>
      <c r="V155" s="130"/>
      <c r="W155" s="130"/>
      <c r="X155" s="130"/>
      <c r="Y155" s="130"/>
    </row>
    <row r="156" spans="8:25" s="84" customFormat="1" ht="14.25">
      <c r="H156" s="221"/>
      <c r="I156" s="221"/>
      <c r="J156" s="209"/>
      <c r="T156" s="130"/>
      <c r="U156" s="130"/>
      <c r="V156" s="130"/>
      <c r="W156" s="130"/>
      <c r="X156" s="130"/>
      <c r="Y156" s="130"/>
    </row>
    <row r="157" spans="8:25" s="84" customFormat="1" ht="14.25">
      <c r="H157" s="221"/>
      <c r="I157" s="221"/>
      <c r="J157" s="209"/>
      <c r="T157" s="130"/>
      <c r="U157" s="130"/>
      <c r="V157" s="130"/>
      <c r="W157" s="130"/>
      <c r="X157" s="130"/>
      <c r="Y157" s="130"/>
    </row>
    <row r="158" spans="8:25" s="84" customFormat="1" ht="14.25">
      <c r="H158" s="221"/>
      <c r="I158" s="221"/>
      <c r="J158" s="209"/>
      <c r="T158" s="130"/>
      <c r="U158" s="130"/>
      <c r="V158" s="130"/>
      <c r="W158" s="130"/>
      <c r="X158" s="130"/>
      <c r="Y158" s="130"/>
    </row>
    <row r="159" spans="8:25" s="84" customFormat="1" ht="14.25">
      <c r="H159" s="221"/>
      <c r="I159" s="221"/>
      <c r="J159" s="209"/>
      <c r="T159" s="130"/>
      <c r="U159" s="130"/>
      <c r="V159" s="130"/>
      <c r="W159" s="130"/>
      <c r="X159" s="130"/>
      <c r="Y159" s="130"/>
    </row>
    <row r="160" spans="8:25" s="84" customFormat="1" ht="14.25">
      <c r="H160" s="221"/>
      <c r="I160" s="221"/>
      <c r="J160" s="209"/>
      <c r="T160" s="130"/>
      <c r="U160" s="130"/>
      <c r="V160" s="130"/>
      <c r="W160" s="130"/>
      <c r="X160" s="130"/>
      <c r="Y160" s="130"/>
    </row>
    <row r="161" spans="8:25" s="84" customFormat="1" ht="14.25">
      <c r="H161" s="221"/>
      <c r="I161" s="221"/>
      <c r="J161" s="209"/>
      <c r="T161" s="130"/>
      <c r="U161" s="130"/>
      <c r="V161" s="130"/>
      <c r="W161" s="130"/>
      <c r="X161" s="130"/>
      <c r="Y161" s="130"/>
    </row>
    <row r="162" spans="8:25" s="84" customFormat="1" ht="14.25">
      <c r="H162" s="221"/>
      <c r="I162" s="221"/>
      <c r="J162" s="209"/>
      <c r="T162" s="130"/>
      <c r="U162" s="130"/>
      <c r="V162" s="130"/>
      <c r="W162" s="130"/>
      <c r="X162" s="130"/>
      <c r="Y162" s="130"/>
    </row>
    <row r="163" spans="8:25" s="84" customFormat="1" ht="14.25">
      <c r="H163" s="221"/>
      <c r="I163" s="221"/>
      <c r="J163" s="209"/>
      <c r="T163" s="130"/>
      <c r="U163" s="130"/>
      <c r="V163" s="130"/>
      <c r="W163" s="130"/>
      <c r="X163" s="130"/>
      <c r="Y163" s="130"/>
    </row>
    <row r="164" spans="8:25" s="84" customFormat="1" ht="14.25">
      <c r="H164" s="221"/>
      <c r="I164" s="221"/>
      <c r="J164" s="209"/>
      <c r="T164" s="130"/>
      <c r="U164" s="130"/>
      <c r="V164" s="130"/>
      <c r="W164" s="130"/>
      <c r="X164" s="130"/>
      <c r="Y164" s="130"/>
    </row>
    <row r="165" spans="8:25" s="84" customFormat="1" ht="14.25">
      <c r="H165" s="221"/>
      <c r="I165" s="221"/>
      <c r="J165" s="209"/>
      <c r="T165" s="130"/>
      <c r="U165" s="130"/>
      <c r="V165" s="130"/>
      <c r="W165" s="130"/>
      <c r="X165" s="130"/>
      <c r="Y165" s="130"/>
    </row>
    <row r="166" spans="8:25" s="84" customFormat="1" ht="14.25">
      <c r="H166" s="221"/>
      <c r="I166" s="221"/>
      <c r="J166" s="209"/>
      <c r="T166" s="130"/>
      <c r="U166" s="130"/>
      <c r="V166" s="130"/>
      <c r="W166" s="130"/>
      <c r="X166" s="130"/>
      <c r="Y166" s="130"/>
    </row>
    <row r="167" spans="8:25" s="84" customFormat="1" ht="14.25">
      <c r="H167" s="221"/>
      <c r="I167" s="221"/>
      <c r="J167" s="209"/>
      <c r="T167" s="130"/>
      <c r="U167" s="130"/>
      <c r="V167" s="130"/>
      <c r="W167" s="130"/>
      <c r="X167" s="130"/>
      <c r="Y167" s="130"/>
    </row>
    <row r="168" spans="8:25" s="84" customFormat="1" ht="14.25">
      <c r="H168" s="221"/>
      <c r="I168" s="221"/>
      <c r="J168" s="209"/>
      <c r="T168" s="130"/>
      <c r="U168" s="130"/>
      <c r="V168" s="130"/>
      <c r="W168" s="130"/>
      <c r="X168" s="130"/>
      <c r="Y168" s="130"/>
    </row>
    <row r="169" spans="8:25" s="84" customFormat="1" ht="14.25">
      <c r="H169" s="221"/>
      <c r="I169" s="221"/>
      <c r="J169" s="209"/>
      <c r="T169" s="130"/>
      <c r="U169" s="130"/>
      <c r="V169" s="130"/>
      <c r="W169" s="130"/>
      <c r="X169" s="130"/>
      <c r="Y169" s="130"/>
    </row>
    <row r="170" spans="8:25" s="84" customFormat="1" ht="14.25">
      <c r="H170" s="221"/>
      <c r="I170" s="221"/>
      <c r="J170" s="209"/>
      <c r="T170" s="130"/>
      <c r="U170" s="130"/>
      <c r="V170" s="130"/>
      <c r="W170" s="130"/>
      <c r="X170" s="130"/>
      <c r="Y170" s="130"/>
    </row>
    <row r="171" spans="8:25" s="84" customFormat="1" ht="14.25">
      <c r="H171" s="221"/>
      <c r="I171" s="221"/>
      <c r="J171" s="209"/>
      <c r="T171" s="130"/>
      <c r="U171" s="130"/>
      <c r="V171" s="130"/>
      <c r="W171" s="130"/>
      <c r="X171" s="130"/>
      <c r="Y171" s="130"/>
    </row>
    <row r="172" spans="8:25" s="84" customFormat="1" ht="14.25">
      <c r="H172" s="221"/>
      <c r="I172" s="221"/>
      <c r="J172" s="209"/>
      <c r="T172" s="130"/>
      <c r="U172" s="130"/>
      <c r="V172" s="130"/>
      <c r="W172" s="130"/>
      <c r="X172" s="130"/>
      <c r="Y172" s="130"/>
    </row>
    <row r="173" spans="8:25" s="84" customFormat="1" ht="14.25">
      <c r="H173" s="221"/>
      <c r="I173" s="221"/>
      <c r="J173" s="209"/>
      <c r="T173" s="130"/>
      <c r="U173" s="130"/>
      <c r="V173" s="130"/>
      <c r="W173" s="130"/>
      <c r="X173" s="130"/>
      <c r="Y173" s="130"/>
    </row>
    <row r="174" spans="8:25" s="84" customFormat="1" ht="14.25">
      <c r="H174" s="221"/>
      <c r="I174" s="221"/>
      <c r="J174" s="209"/>
      <c r="T174" s="130"/>
      <c r="U174" s="130"/>
      <c r="V174" s="130"/>
      <c r="W174" s="130"/>
      <c r="X174" s="130"/>
      <c r="Y174" s="130"/>
    </row>
    <row r="175" spans="8:25" s="84" customFormat="1" ht="14.25">
      <c r="H175" s="221"/>
      <c r="I175" s="221"/>
      <c r="J175" s="209"/>
      <c r="T175" s="130"/>
      <c r="U175" s="130"/>
      <c r="V175" s="130"/>
      <c r="W175" s="130"/>
      <c r="X175" s="130"/>
      <c r="Y175" s="130"/>
    </row>
    <row r="176" spans="8:25" s="84" customFormat="1" ht="14.25">
      <c r="H176" s="221"/>
      <c r="I176" s="221"/>
      <c r="J176" s="209"/>
      <c r="T176" s="130"/>
      <c r="U176" s="130"/>
      <c r="V176" s="130"/>
      <c r="W176" s="130"/>
      <c r="X176" s="130"/>
      <c r="Y176" s="130"/>
    </row>
    <row r="177" spans="8:25" s="84" customFormat="1" ht="14.25">
      <c r="H177" s="221"/>
      <c r="I177" s="221"/>
      <c r="J177" s="209"/>
      <c r="T177" s="130"/>
      <c r="U177" s="130"/>
      <c r="V177" s="130"/>
      <c r="W177" s="130"/>
      <c r="X177" s="130"/>
      <c r="Y177" s="130"/>
    </row>
    <row r="178" spans="8:25" s="84" customFormat="1" ht="14.25">
      <c r="H178" s="221"/>
      <c r="I178" s="221"/>
      <c r="J178" s="209"/>
      <c r="T178" s="130"/>
      <c r="U178" s="130"/>
      <c r="V178" s="130"/>
      <c r="W178" s="130"/>
      <c r="X178" s="130"/>
      <c r="Y178" s="130"/>
    </row>
    <row r="179" spans="8:25" s="84" customFormat="1" ht="14.25">
      <c r="H179" s="221"/>
      <c r="I179" s="221"/>
      <c r="J179" s="209"/>
      <c r="T179" s="130"/>
      <c r="U179" s="130"/>
      <c r="V179" s="130"/>
      <c r="W179" s="130"/>
      <c r="X179" s="130"/>
      <c r="Y179" s="130"/>
    </row>
    <row r="180" spans="8:25" s="84" customFormat="1" ht="14.25">
      <c r="H180" s="221"/>
      <c r="I180" s="221"/>
      <c r="J180" s="209"/>
      <c r="T180" s="130"/>
      <c r="U180" s="130"/>
      <c r="V180" s="130"/>
      <c r="W180" s="130"/>
      <c r="X180" s="130"/>
      <c r="Y180" s="130"/>
    </row>
    <row r="181" spans="8:25" s="84" customFormat="1" ht="14.25">
      <c r="H181" s="221"/>
      <c r="I181" s="221"/>
      <c r="J181" s="209"/>
      <c r="T181" s="130"/>
      <c r="U181" s="130"/>
      <c r="V181" s="130"/>
      <c r="W181" s="130"/>
      <c r="X181" s="130"/>
      <c r="Y181" s="130"/>
    </row>
    <row r="182" spans="8:25" s="84" customFormat="1" ht="14.25">
      <c r="H182" s="221"/>
      <c r="I182" s="221"/>
      <c r="J182" s="209"/>
      <c r="T182" s="130"/>
      <c r="U182" s="130"/>
      <c r="V182" s="130"/>
      <c r="W182" s="130"/>
      <c r="X182" s="130"/>
      <c r="Y182" s="130"/>
    </row>
    <row r="183" spans="8:25" s="84" customFormat="1" ht="14.25">
      <c r="H183" s="221"/>
      <c r="I183" s="221"/>
      <c r="J183" s="209"/>
      <c r="T183" s="130"/>
      <c r="U183" s="130"/>
      <c r="V183" s="130"/>
      <c r="W183" s="130"/>
      <c r="X183" s="130"/>
      <c r="Y183" s="130"/>
    </row>
    <row r="184" spans="8:25" s="84" customFormat="1" ht="14.25">
      <c r="H184" s="221"/>
      <c r="I184" s="221"/>
      <c r="J184" s="209"/>
      <c r="T184" s="130"/>
      <c r="U184" s="130"/>
      <c r="V184" s="130"/>
      <c r="W184" s="130"/>
      <c r="X184" s="130"/>
      <c r="Y184" s="130"/>
    </row>
    <row r="185" spans="8:25" s="84" customFormat="1" ht="14.25">
      <c r="H185" s="221"/>
      <c r="I185" s="221"/>
      <c r="J185" s="209"/>
      <c r="T185" s="130"/>
      <c r="U185" s="130"/>
      <c r="V185" s="130"/>
      <c r="W185" s="130"/>
      <c r="X185" s="130"/>
      <c r="Y185" s="130"/>
    </row>
    <row r="186" spans="8:25" s="84" customFormat="1" ht="14.25">
      <c r="H186" s="221"/>
      <c r="I186" s="221"/>
      <c r="J186" s="209"/>
      <c r="T186" s="130"/>
      <c r="U186" s="130"/>
      <c r="V186" s="130"/>
      <c r="W186" s="130"/>
      <c r="X186" s="130"/>
      <c r="Y186" s="130"/>
    </row>
    <row r="187" spans="8:25" s="84" customFormat="1" ht="14.25">
      <c r="H187" s="221"/>
      <c r="I187" s="221"/>
      <c r="J187" s="209"/>
      <c r="T187" s="130"/>
      <c r="U187" s="130"/>
      <c r="V187" s="130"/>
      <c r="W187" s="130"/>
      <c r="X187" s="130"/>
      <c r="Y187" s="130"/>
    </row>
    <row r="188" spans="8:25" s="84" customFormat="1" ht="14.25">
      <c r="H188" s="221"/>
      <c r="I188" s="221"/>
      <c r="J188" s="209"/>
      <c r="T188" s="130"/>
      <c r="U188" s="130"/>
      <c r="V188" s="130"/>
      <c r="W188" s="130"/>
      <c r="X188" s="130"/>
      <c r="Y188" s="130"/>
    </row>
    <row r="189" spans="8:25" s="84" customFormat="1" ht="14.25">
      <c r="H189" s="221"/>
      <c r="I189" s="221"/>
      <c r="J189" s="209"/>
      <c r="T189" s="130"/>
      <c r="U189" s="130"/>
      <c r="V189" s="130"/>
      <c r="W189" s="130"/>
      <c r="X189" s="130"/>
      <c r="Y189" s="130"/>
    </row>
    <row r="190" spans="8:25" s="84" customFormat="1" ht="14.25">
      <c r="H190" s="221"/>
      <c r="I190" s="221"/>
      <c r="J190" s="209"/>
      <c r="T190" s="130"/>
      <c r="U190" s="130"/>
      <c r="V190" s="130"/>
      <c r="W190" s="130"/>
      <c r="X190" s="130"/>
      <c r="Y190" s="130"/>
    </row>
    <row r="191" spans="8:25" s="84" customFormat="1" ht="14.25">
      <c r="H191" s="221"/>
      <c r="I191" s="221"/>
      <c r="J191" s="209"/>
      <c r="T191" s="130"/>
      <c r="U191" s="130"/>
      <c r="V191" s="130"/>
      <c r="W191" s="130"/>
      <c r="X191" s="130"/>
      <c r="Y191" s="130"/>
    </row>
    <row r="192" spans="8:25" s="84" customFormat="1" ht="14.25">
      <c r="H192" s="221"/>
      <c r="I192" s="221"/>
      <c r="J192" s="209"/>
      <c r="T192" s="130"/>
      <c r="U192" s="130"/>
      <c r="V192" s="130"/>
      <c r="W192" s="130"/>
      <c r="X192" s="130"/>
      <c r="Y192" s="130"/>
    </row>
    <row r="193" spans="8:25" s="84" customFormat="1" ht="14.25">
      <c r="H193" s="221"/>
      <c r="I193" s="221"/>
      <c r="J193" s="209"/>
      <c r="T193" s="130"/>
      <c r="U193" s="130"/>
      <c r="V193" s="130"/>
      <c r="W193" s="130"/>
      <c r="X193" s="130"/>
      <c r="Y193" s="130"/>
    </row>
    <row r="194" spans="8:25" s="84" customFormat="1" ht="14.25">
      <c r="H194" s="221"/>
      <c r="I194" s="221"/>
      <c r="J194" s="209"/>
      <c r="T194" s="130"/>
      <c r="U194" s="130"/>
      <c r="V194" s="130"/>
      <c r="W194" s="130"/>
      <c r="X194" s="130"/>
      <c r="Y194" s="130"/>
    </row>
    <row r="195" spans="8:25" s="84" customFormat="1" ht="14.25">
      <c r="H195" s="221"/>
      <c r="I195" s="221"/>
      <c r="J195" s="209"/>
      <c r="T195" s="130"/>
      <c r="U195" s="130"/>
      <c r="V195" s="130"/>
      <c r="W195" s="130"/>
      <c r="X195" s="130"/>
      <c r="Y195" s="130"/>
    </row>
    <row r="196" spans="8:25" s="84" customFormat="1" ht="14.25">
      <c r="H196" s="221"/>
      <c r="I196" s="221"/>
      <c r="J196" s="209"/>
      <c r="T196" s="130"/>
      <c r="U196" s="130"/>
      <c r="V196" s="130"/>
      <c r="W196" s="130"/>
      <c r="X196" s="130"/>
      <c r="Y196" s="130"/>
    </row>
    <row r="197" spans="8:25" s="84" customFormat="1" ht="14.25">
      <c r="H197" s="221"/>
      <c r="I197" s="221"/>
      <c r="J197" s="209"/>
      <c r="T197" s="130"/>
      <c r="U197" s="130"/>
      <c r="V197" s="130"/>
      <c r="W197" s="130"/>
      <c r="X197" s="130"/>
      <c r="Y197" s="130"/>
    </row>
    <row r="198" spans="8:25" s="84" customFormat="1" ht="14.25">
      <c r="H198" s="221"/>
      <c r="I198" s="221"/>
      <c r="J198" s="209"/>
      <c r="T198" s="130"/>
      <c r="U198" s="130"/>
      <c r="V198" s="130"/>
      <c r="W198" s="130"/>
      <c r="X198" s="130"/>
      <c r="Y198" s="130"/>
    </row>
    <row r="199" spans="8:25" s="84" customFormat="1" ht="14.25">
      <c r="H199" s="221"/>
      <c r="I199" s="221"/>
      <c r="J199" s="209"/>
      <c r="T199" s="130"/>
      <c r="U199" s="130"/>
      <c r="V199" s="130"/>
      <c r="W199" s="130"/>
      <c r="X199" s="130"/>
      <c r="Y199" s="130"/>
    </row>
    <row r="200" spans="8:25" s="84" customFormat="1" ht="14.25">
      <c r="H200" s="221"/>
      <c r="I200" s="221"/>
      <c r="J200" s="209"/>
      <c r="T200" s="130"/>
      <c r="U200" s="130"/>
      <c r="V200" s="130"/>
      <c r="W200" s="130"/>
      <c r="X200" s="130"/>
      <c r="Y200" s="130"/>
    </row>
    <row r="201" spans="8:25" s="84" customFormat="1" ht="14.25">
      <c r="H201" s="221"/>
      <c r="I201" s="221"/>
      <c r="J201" s="209"/>
      <c r="T201" s="130"/>
      <c r="U201" s="130"/>
      <c r="V201" s="130"/>
      <c r="W201" s="130"/>
      <c r="X201" s="130"/>
      <c r="Y201" s="130"/>
    </row>
    <row r="202" spans="8:25" s="84" customFormat="1" ht="14.25">
      <c r="H202" s="221"/>
      <c r="I202" s="221"/>
      <c r="J202" s="209"/>
      <c r="T202" s="130"/>
      <c r="U202" s="130"/>
      <c r="V202" s="130"/>
      <c r="W202" s="130"/>
      <c r="X202" s="130"/>
      <c r="Y202" s="130"/>
    </row>
    <row r="203" spans="8:25" s="84" customFormat="1" ht="14.25">
      <c r="H203" s="221"/>
      <c r="I203" s="221"/>
      <c r="J203" s="209"/>
      <c r="T203" s="130"/>
      <c r="U203" s="130"/>
      <c r="V203" s="130"/>
      <c r="W203" s="130"/>
      <c r="X203" s="130"/>
      <c r="Y203" s="130"/>
    </row>
    <row r="204" spans="8:25" s="84" customFormat="1" ht="14.25">
      <c r="H204" s="221"/>
      <c r="I204" s="221"/>
      <c r="J204" s="209"/>
      <c r="T204" s="130"/>
      <c r="U204" s="130"/>
      <c r="V204" s="130"/>
      <c r="W204" s="130"/>
      <c r="X204" s="130"/>
      <c r="Y204" s="130"/>
    </row>
    <row r="205" spans="8:25" s="84" customFormat="1" ht="14.25">
      <c r="H205" s="221"/>
      <c r="I205" s="221"/>
      <c r="J205" s="209"/>
      <c r="T205" s="130"/>
      <c r="U205" s="130"/>
      <c r="V205" s="130"/>
      <c r="W205" s="130"/>
      <c r="X205" s="130"/>
      <c r="Y205" s="130"/>
    </row>
    <row r="206" spans="8:25" s="84" customFormat="1" ht="14.25">
      <c r="H206" s="221"/>
      <c r="I206" s="221"/>
      <c r="J206" s="209"/>
      <c r="T206" s="130"/>
      <c r="U206" s="130"/>
      <c r="V206" s="130"/>
      <c r="W206" s="130"/>
      <c r="X206" s="130"/>
      <c r="Y206" s="130"/>
    </row>
    <row r="207" spans="8:25" s="84" customFormat="1" ht="14.25">
      <c r="H207" s="221"/>
      <c r="I207" s="221"/>
      <c r="J207" s="209"/>
      <c r="T207" s="130"/>
      <c r="U207" s="130"/>
      <c r="V207" s="130"/>
      <c r="W207" s="130"/>
      <c r="X207" s="130"/>
      <c r="Y207" s="130"/>
    </row>
    <row r="208" spans="8:25" s="84" customFormat="1" ht="14.25">
      <c r="H208" s="221"/>
      <c r="I208" s="221"/>
      <c r="J208" s="209"/>
      <c r="T208" s="130"/>
      <c r="U208" s="130"/>
      <c r="V208" s="130"/>
      <c r="W208" s="130"/>
      <c r="X208" s="130"/>
      <c r="Y208" s="130"/>
    </row>
    <row r="209" spans="8:25" s="84" customFormat="1" ht="14.25">
      <c r="H209" s="221"/>
      <c r="I209" s="221"/>
      <c r="J209" s="209"/>
      <c r="T209" s="130"/>
      <c r="U209" s="130"/>
      <c r="V209" s="130"/>
      <c r="W209" s="130"/>
      <c r="X209" s="130"/>
      <c r="Y209" s="130"/>
    </row>
    <row r="210" spans="8:25" s="84" customFormat="1" ht="14.25">
      <c r="H210" s="221"/>
      <c r="I210" s="221"/>
      <c r="J210" s="209"/>
      <c r="T210" s="130"/>
      <c r="U210" s="130"/>
      <c r="V210" s="130"/>
      <c r="W210" s="130"/>
      <c r="X210" s="130"/>
      <c r="Y210" s="130"/>
    </row>
    <row r="211" spans="8:25" s="84" customFormat="1" ht="14.25">
      <c r="H211" s="221"/>
      <c r="I211" s="221"/>
      <c r="J211" s="209"/>
      <c r="T211" s="130"/>
      <c r="U211" s="130"/>
      <c r="V211" s="130"/>
      <c r="W211" s="130"/>
      <c r="X211" s="130"/>
      <c r="Y211" s="130"/>
    </row>
    <row r="212" spans="8:25" s="84" customFormat="1" ht="14.25">
      <c r="H212" s="221"/>
      <c r="I212" s="221"/>
      <c r="J212" s="209"/>
      <c r="T212" s="130"/>
      <c r="U212" s="130"/>
      <c r="V212" s="130"/>
      <c r="W212" s="130"/>
      <c r="X212" s="130"/>
      <c r="Y212" s="130"/>
    </row>
    <row r="213" spans="8:25" s="84" customFormat="1" ht="14.25">
      <c r="H213" s="221"/>
      <c r="I213" s="221"/>
      <c r="J213" s="209"/>
      <c r="T213" s="130"/>
      <c r="U213" s="130"/>
      <c r="V213" s="130"/>
      <c r="W213" s="130"/>
      <c r="X213" s="130"/>
      <c r="Y213" s="130"/>
    </row>
  </sheetData>
  <sheetProtection/>
  <mergeCells count="3">
    <mergeCell ref="K1:M1"/>
    <mergeCell ref="O1:Q1"/>
    <mergeCell ref="A1:D1"/>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20"/>
  <sheetViews>
    <sheetView zoomScalePageLayoutView="0" workbookViewId="0" topLeftCell="M1">
      <pane ySplit="1" topLeftCell="A2" activePane="bottomLeft" state="frozen"/>
      <selection pane="topLeft" activeCell="A1" sqref="A1"/>
      <selection pane="bottomLeft" activeCell="Y16" sqref="Y16"/>
    </sheetView>
  </sheetViews>
  <sheetFormatPr defaultColWidth="11.421875" defaultRowHeight="12.75"/>
  <cols>
    <col min="1" max="2" width="10.8515625" style="262" customWidth="1"/>
    <col min="3" max="3" width="21.8515625" style="262" customWidth="1"/>
    <col min="4" max="6" width="10.8515625" style="262" customWidth="1"/>
    <col min="7" max="7" width="43.28125" style="262" customWidth="1"/>
    <col min="8" max="8" width="43.28125" style="323" customWidth="1"/>
    <col min="9" max="9" width="21.7109375" style="323" customWidth="1"/>
    <col min="10" max="16384" width="11.421875" style="262" customWidth="1"/>
  </cols>
  <sheetData>
    <row r="1" spans="1:26" ht="25.5" customHeight="1">
      <c r="A1" s="647" t="s">
        <v>2625</v>
      </c>
      <c r="B1" s="647"/>
      <c r="C1" s="647"/>
      <c r="D1" s="647"/>
      <c r="E1" s="79" t="s">
        <v>2626</v>
      </c>
      <c r="F1" s="79" t="s">
        <v>2627</v>
      </c>
      <c r="G1" s="306" t="s">
        <v>1712</v>
      </c>
      <c r="H1" s="317" t="s">
        <v>2634</v>
      </c>
      <c r="I1" s="317" t="s">
        <v>2633</v>
      </c>
      <c r="J1" s="307" t="s">
        <v>1708</v>
      </c>
      <c r="K1" s="652" t="s">
        <v>2377</v>
      </c>
      <c r="L1" s="653"/>
      <c r="M1" s="653"/>
      <c r="N1" s="306" t="s">
        <v>1710</v>
      </c>
      <c r="O1" s="652" t="s">
        <v>2336</v>
      </c>
      <c r="P1" s="653"/>
      <c r="Q1" s="653"/>
      <c r="R1" s="306" t="s">
        <v>2274</v>
      </c>
      <c r="T1" s="310" t="s">
        <v>2527</v>
      </c>
      <c r="U1" s="310" t="s">
        <v>2528</v>
      </c>
      <c r="V1" s="310" t="s">
        <v>2529</v>
      </c>
      <c r="W1" s="310" t="s">
        <v>2530</v>
      </c>
      <c r="X1" s="310" t="s">
        <v>2532</v>
      </c>
      <c r="Y1" s="310" t="s">
        <v>2531</v>
      </c>
      <c r="Z1" s="309"/>
    </row>
    <row r="2" spans="1:9" s="316" customFormat="1" ht="30" customHeight="1">
      <c r="A2" s="311">
        <v>6</v>
      </c>
      <c r="B2" s="312" t="s">
        <v>418</v>
      </c>
      <c r="C2" s="313" t="s">
        <v>270</v>
      </c>
      <c r="D2" s="314" t="s">
        <v>2075</v>
      </c>
      <c r="E2" s="315">
        <v>6590</v>
      </c>
      <c r="F2" s="315">
        <v>6789</v>
      </c>
      <c r="H2" s="318"/>
      <c r="I2" s="318"/>
    </row>
    <row r="3" spans="1:9" s="297" customFormat="1" ht="63.75">
      <c r="A3" s="302" t="s">
        <v>897</v>
      </c>
      <c r="B3" s="301" t="s">
        <v>418</v>
      </c>
      <c r="C3" s="300" t="s">
        <v>271</v>
      </c>
      <c r="D3" s="299" t="s">
        <v>1919</v>
      </c>
      <c r="E3" s="298">
        <v>3540</v>
      </c>
      <c r="F3" s="298">
        <v>3384</v>
      </c>
      <c r="H3" s="319"/>
      <c r="I3" s="319"/>
    </row>
    <row r="4" spans="1:9" s="284" customFormat="1" ht="38.25">
      <c r="A4" s="289" t="s">
        <v>898</v>
      </c>
      <c r="B4" s="288" t="s">
        <v>418</v>
      </c>
      <c r="C4" s="287" t="s">
        <v>272</v>
      </c>
      <c r="D4" s="286" t="s">
        <v>1920</v>
      </c>
      <c r="E4" s="285">
        <v>2590</v>
      </c>
      <c r="F4" s="285">
        <v>2476</v>
      </c>
      <c r="H4" s="320"/>
      <c r="I4" s="320"/>
    </row>
    <row r="5" spans="1:25" s="269" customFormat="1" ht="38.25">
      <c r="A5" s="276" t="s">
        <v>899</v>
      </c>
      <c r="B5" s="275" t="s">
        <v>418</v>
      </c>
      <c r="C5" s="274" t="s">
        <v>273</v>
      </c>
      <c r="D5" s="273" t="s">
        <v>1920</v>
      </c>
      <c r="E5" s="272">
        <v>2140</v>
      </c>
      <c r="F5" s="272">
        <v>2045</v>
      </c>
      <c r="G5" s="269" t="s">
        <v>2595</v>
      </c>
      <c r="H5" s="321" t="s">
        <v>413</v>
      </c>
      <c r="I5" s="321" t="s">
        <v>413</v>
      </c>
      <c r="J5" s="296">
        <v>0.25</v>
      </c>
      <c r="K5" s="269" t="s">
        <v>413</v>
      </c>
      <c r="L5" s="269" t="s">
        <v>413</v>
      </c>
      <c r="M5" s="269" t="s">
        <v>413</v>
      </c>
      <c r="N5" s="269" t="s">
        <v>413</v>
      </c>
      <c r="O5" s="269" t="s">
        <v>413</v>
      </c>
      <c r="P5" s="269" t="s">
        <v>413</v>
      </c>
      <c r="Q5" s="269" t="s">
        <v>413</v>
      </c>
      <c r="R5" s="269" t="s">
        <v>413</v>
      </c>
      <c r="S5" s="269" t="s">
        <v>413</v>
      </c>
      <c r="T5" s="269" t="s">
        <v>413</v>
      </c>
      <c r="U5" s="269">
        <v>0.0267</v>
      </c>
      <c r="V5" s="269" t="s">
        <v>413</v>
      </c>
      <c r="W5" s="269">
        <v>0.003</v>
      </c>
      <c r="X5" s="269" t="s">
        <v>413</v>
      </c>
      <c r="Y5" s="269">
        <v>0.0231</v>
      </c>
    </row>
    <row r="6" spans="1:14" s="290" customFormat="1" ht="12.75">
      <c r="A6" s="267"/>
      <c r="B6" s="266"/>
      <c r="C6" s="295"/>
      <c r="D6" s="294"/>
      <c r="E6" s="293"/>
      <c r="F6" s="293"/>
      <c r="H6" s="322"/>
      <c r="I6" s="322"/>
      <c r="J6" s="292"/>
      <c r="N6" s="291"/>
    </row>
    <row r="7" spans="1:6" ht="38.25">
      <c r="A7" s="267" t="s">
        <v>900</v>
      </c>
      <c r="B7" s="266" t="s">
        <v>418</v>
      </c>
      <c r="C7" s="265" t="s">
        <v>274</v>
      </c>
      <c r="D7" s="264" t="s">
        <v>1921</v>
      </c>
      <c r="E7" s="263">
        <v>90</v>
      </c>
      <c r="F7" s="263">
        <v>86</v>
      </c>
    </row>
    <row r="8" spans="1:9" s="284" customFormat="1" ht="63.75">
      <c r="A8" s="289" t="s">
        <v>901</v>
      </c>
      <c r="B8" s="288" t="s">
        <v>418</v>
      </c>
      <c r="C8" s="287" t="s">
        <v>275</v>
      </c>
      <c r="D8" s="286" t="s">
        <v>1922</v>
      </c>
      <c r="E8" s="285" t="s">
        <v>1689</v>
      </c>
      <c r="F8" s="285" t="s">
        <v>1689</v>
      </c>
      <c r="H8" s="320"/>
      <c r="I8" s="320"/>
    </row>
    <row r="9" spans="1:25" s="270" customFormat="1" ht="38.25">
      <c r="A9" s="283" t="s">
        <v>902</v>
      </c>
      <c r="B9" s="282" t="s">
        <v>418</v>
      </c>
      <c r="C9" s="281" t="s">
        <v>276</v>
      </c>
      <c r="D9" s="280" t="s">
        <v>1923</v>
      </c>
      <c r="E9" s="279" t="s">
        <v>1689</v>
      </c>
      <c r="F9" s="279" t="s">
        <v>1689</v>
      </c>
      <c r="G9" s="270" t="s">
        <v>2632</v>
      </c>
      <c r="H9" s="321">
        <v>20</v>
      </c>
      <c r="I9" s="321">
        <v>20</v>
      </c>
      <c r="J9" s="278">
        <v>0.25</v>
      </c>
      <c r="K9" s="277">
        <v>0.019</v>
      </c>
      <c r="L9" s="277" t="s">
        <v>1715</v>
      </c>
      <c r="M9" s="277"/>
      <c r="N9" s="277" t="s">
        <v>2145</v>
      </c>
      <c r="O9" s="270" t="s">
        <v>413</v>
      </c>
      <c r="P9" s="270" t="s">
        <v>413</v>
      </c>
      <c r="Q9" s="270" t="s">
        <v>413</v>
      </c>
      <c r="R9" s="270">
        <v>0.02</v>
      </c>
      <c r="S9" s="270" t="s">
        <v>413</v>
      </c>
      <c r="T9" s="270">
        <f>0.3324/R9</f>
        <v>16.619999999999997</v>
      </c>
      <c r="U9" s="270">
        <v>0.01662</v>
      </c>
      <c r="V9" s="270">
        <f>0.0281/R9</f>
        <v>1.405</v>
      </c>
      <c r="W9" s="270">
        <v>0.00141</v>
      </c>
      <c r="X9" s="270">
        <f>8.2448/R9</f>
        <v>412.23999999999995</v>
      </c>
      <c r="Y9" s="270">
        <v>0.41224</v>
      </c>
    </row>
    <row r="10" spans="1:25" s="270" customFormat="1" ht="38.25">
      <c r="A10" s="283" t="s">
        <v>903</v>
      </c>
      <c r="B10" s="282" t="s">
        <v>418</v>
      </c>
      <c r="C10" s="281" t="s">
        <v>277</v>
      </c>
      <c r="D10" s="280" t="s">
        <v>1924</v>
      </c>
      <c r="E10" s="279" t="s">
        <v>1689</v>
      </c>
      <c r="F10" s="279" t="s">
        <v>1689</v>
      </c>
      <c r="G10" s="277" t="s">
        <v>2631</v>
      </c>
      <c r="H10" s="321">
        <f>I10</f>
        <v>69</v>
      </c>
      <c r="I10" s="321">
        <v>69</v>
      </c>
      <c r="J10" s="278">
        <v>0.25</v>
      </c>
      <c r="K10" s="270" t="s">
        <v>2630</v>
      </c>
      <c r="L10" s="270">
        <v>0.355</v>
      </c>
      <c r="N10" s="277" t="s">
        <v>2439</v>
      </c>
      <c r="O10" s="270">
        <f>0.4-0.355</f>
        <v>0.04500000000000004</v>
      </c>
      <c r="P10" s="270" t="s">
        <v>1715</v>
      </c>
      <c r="Q10" s="270" t="s">
        <v>413</v>
      </c>
      <c r="R10" s="270">
        <v>0.4</v>
      </c>
      <c r="T10" s="270">
        <f>1.3885/L10</f>
        <v>3.911267605633803</v>
      </c>
      <c r="U10" s="270">
        <v>0.0201</v>
      </c>
      <c r="V10" s="270">
        <f>0.1146/L10</f>
        <v>0.3228169014084507</v>
      </c>
      <c r="W10" s="270">
        <f>0.00166</f>
        <v>0.00166</v>
      </c>
      <c r="X10" s="270">
        <f>4.7211/L10</f>
        <v>13.29887323943662</v>
      </c>
      <c r="Y10" s="270">
        <v>0.06842</v>
      </c>
    </row>
    <row r="11" spans="1:26" s="269" customFormat="1" ht="38.25">
      <c r="A11" s="276" t="s">
        <v>904</v>
      </c>
      <c r="B11" s="275" t="s">
        <v>418</v>
      </c>
      <c r="C11" s="274" t="s">
        <v>278</v>
      </c>
      <c r="D11" s="273" t="s">
        <v>1925</v>
      </c>
      <c r="E11" s="272">
        <v>3010</v>
      </c>
      <c r="F11" s="272">
        <v>3292</v>
      </c>
      <c r="G11" s="269" t="s">
        <v>2595</v>
      </c>
      <c r="H11" s="321" t="s">
        <v>413</v>
      </c>
      <c r="I11" s="321" t="s">
        <v>413</v>
      </c>
      <c r="J11" s="271" t="s">
        <v>413</v>
      </c>
      <c r="K11" s="271" t="s">
        <v>413</v>
      </c>
      <c r="L11" s="271" t="s">
        <v>413</v>
      </c>
      <c r="M11" s="271" t="s">
        <v>413</v>
      </c>
      <c r="N11" s="271" t="s">
        <v>413</v>
      </c>
      <c r="O11" s="271" t="s">
        <v>413</v>
      </c>
      <c r="P11" s="271" t="s">
        <v>413</v>
      </c>
      <c r="Q11" s="271" t="s">
        <v>413</v>
      </c>
      <c r="R11" s="271" t="s">
        <v>413</v>
      </c>
      <c r="S11" s="271" t="s">
        <v>413</v>
      </c>
      <c r="T11" s="270" t="s">
        <v>413</v>
      </c>
      <c r="U11" s="270">
        <v>0.01322</v>
      </c>
      <c r="V11" s="270" t="s">
        <v>413</v>
      </c>
      <c r="W11" s="270">
        <v>0.0018</v>
      </c>
      <c r="X11" s="270" t="s">
        <v>413</v>
      </c>
      <c r="Y11" s="270">
        <v>0.0026</v>
      </c>
      <c r="Z11" s="270"/>
    </row>
    <row r="12" spans="1:6" ht="25.5">
      <c r="A12" s="267" t="s">
        <v>905</v>
      </c>
      <c r="B12" s="266" t="s">
        <v>418</v>
      </c>
      <c r="C12" s="265" t="s">
        <v>279</v>
      </c>
      <c r="D12" s="264" t="s">
        <v>1926</v>
      </c>
      <c r="E12" s="263">
        <v>470</v>
      </c>
      <c r="F12" s="263">
        <v>514</v>
      </c>
    </row>
    <row r="13" spans="1:6" ht="25.5">
      <c r="A13" s="268" t="s">
        <v>1658</v>
      </c>
      <c r="B13" s="266" t="s">
        <v>418</v>
      </c>
      <c r="C13" s="265" t="s">
        <v>279</v>
      </c>
      <c r="D13" s="264" t="s">
        <v>1927</v>
      </c>
      <c r="E13" s="263">
        <v>470</v>
      </c>
      <c r="F13" s="263">
        <v>514</v>
      </c>
    </row>
    <row r="14" spans="1:6" ht="25.5">
      <c r="A14" s="267" t="s">
        <v>906</v>
      </c>
      <c r="B14" s="266" t="s">
        <v>418</v>
      </c>
      <c r="C14" s="265" t="s">
        <v>280</v>
      </c>
      <c r="D14" s="264" t="s">
        <v>1928</v>
      </c>
      <c r="E14" s="263">
        <v>1820</v>
      </c>
      <c r="F14" s="263">
        <v>1990</v>
      </c>
    </row>
    <row r="15" spans="1:6" ht="25.5">
      <c r="A15" s="267" t="s">
        <v>907</v>
      </c>
      <c r="B15" s="266" t="s">
        <v>418</v>
      </c>
      <c r="C15" s="265" t="s">
        <v>281</v>
      </c>
      <c r="D15" s="264" t="s">
        <v>1929</v>
      </c>
      <c r="E15" s="263">
        <v>710</v>
      </c>
      <c r="F15" s="263">
        <v>776</v>
      </c>
    </row>
    <row r="16" spans="1:6" ht="76.5">
      <c r="A16" s="267" t="s">
        <v>908</v>
      </c>
      <c r="B16" s="266" t="s">
        <v>418</v>
      </c>
      <c r="C16" s="265" t="s">
        <v>1365</v>
      </c>
      <c r="D16" s="264" t="s">
        <v>1930</v>
      </c>
      <c r="E16" s="263" t="s">
        <v>1689</v>
      </c>
      <c r="F16" s="263" t="s">
        <v>1689</v>
      </c>
    </row>
    <row r="17" spans="1:6" ht="51">
      <c r="A17" s="267" t="s">
        <v>909</v>
      </c>
      <c r="B17" s="266" t="s">
        <v>418</v>
      </c>
      <c r="C17" s="265" t="s">
        <v>1366</v>
      </c>
      <c r="D17" s="264" t="s">
        <v>1931</v>
      </c>
      <c r="E17" s="263">
        <v>690</v>
      </c>
      <c r="F17" s="263">
        <v>755</v>
      </c>
    </row>
    <row r="18" spans="1:6" ht="38.25">
      <c r="A18" s="267" t="s">
        <v>910</v>
      </c>
      <c r="B18" s="266" t="s">
        <v>418</v>
      </c>
      <c r="C18" s="265" t="s">
        <v>1367</v>
      </c>
      <c r="D18" s="264"/>
      <c r="E18" s="263">
        <v>0</v>
      </c>
      <c r="F18" s="263">
        <v>0</v>
      </c>
    </row>
    <row r="19" spans="1:6" ht="12.75">
      <c r="A19" s="267" t="s">
        <v>911</v>
      </c>
      <c r="B19" s="266" t="s">
        <v>418</v>
      </c>
      <c r="C19" s="265" t="s">
        <v>1368</v>
      </c>
      <c r="D19" s="264"/>
      <c r="E19" s="263">
        <v>0</v>
      </c>
      <c r="F19" s="263">
        <v>0</v>
      </c>
    </row>
    <row r="20" spans="1:6" ht="25.5">
      <c r="A20" s="267" t="s">
        <v>912</v>
      </c>
      <c r="B20" s="266" t="s">
        <v>418</v>
      </c>
      <c r="C20" s="265" t="s">
        <v>1369</v>
      </c>
      <c r="D20" s="264" t="s">
        <v>1932</v>
      </c>
      <c r="E20" s="263" t="s">
        <v>1689</v>
      </c>
      <c r="F20" s="263" t="s">
        <v>1689</v>
      </c>
    </row>
  </sheetData>
  <sheetProtection/>
  <mergeCells count="3">
    <mergeCell ref="K1:M1"/>
    <mergeCell ref="O1:Q1"/>
    <mergeCell ref="A1:D1"/>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W13"/>
  <sheetViews>
    <sheetView zoomScalePageLayoutView="0" workbookViewId="0" topLeftCell="A1">
      <pane ySplit="1" topLeftCell="A2" activePane="bottomLeft" state="frozen"/>
      <selection pane="topLeft" activeCell="A1" sqref="A1"/>
      <selection pane="bottomLeft" activeCell="G12" sqref="G12"/>
    </sheetView>
  </sheetViews>
  <sheetFormatPr defaultColWidth="10.8515625" defaultRowHeight="12.75"/>
  <cols>
    <col min="1" max="3" width="10.8515625" style="0" customWidth="1"/>
    <col min="4" max="4" width="18.140625" style="0" customWidth="1"/>
    <col min="5" max="6" width="10.8515625" style="0" customWidth="1"/>
    <col min="7" max="7" width="43.421875" style="0" customWidth="1"/>
    <col min="8" max="8" width="21.8515625" style="0" customWidth="1"/>
    <col min="9" max="9" width="10.8515625" style="19" customWidth="1"/>
    <col min="10" max="17" width="10.8515625" style="0" customWidth="1"/>
    <col min="18" max="18" width="10.8515625" style="41" customWidth="1"/>
    <col min="19" max="19" width="10.8515625" style="53" customWidth="1"/>
    <col min="20" max="20" width="10.8515625" style="41" customWidth="1"/>
    <col min="21" max="21" width="10.8515625" style="53" customWidth="1"/>
    <col min="22" max="22" width="10.8515625" style="41" customWidth="1"/>
    <col min="23" max="23" width="10.8515625" style="53" customWidth="1"/>
  </cols>
  <sheetData>
    <row r="1" spans="1:23" ht="39" customHeight="1">
      <c r="A1" s="647" t="s">
        <v>2625</v>
      </c>
      <c r="B1" s="647"/>
      <c r="C1" s="647"/>
      <c r="D1" s="647"/>
      <c r="E1" s="79" t="s">
        <v>2626</v>
      </c>
      <c r="F1" s="79" t="s">
        <v>2627</v>
      </c>
      <c r="G1" s="1" t="s">
        <v>1712</v>
      </c>
      <c r="H1" s="1" t="s">
        <v>2598</v>
      </c>
      <c r="I1" s="18" t="s">
        <v>1708</v>
      </c>
      <c r="J1" s="645" t="s">
        <v>1709</v>
      </c>
      <c r="K1" s="646"/>
      <c r="L1" s="646"/>
      <c r="M1" s="1" t="s">
        <v>1710</v>
      </c>
      <c r="N1" s="645" t="s">
        <v>1713</v>
      </c>
      <c r="O1" s="646"/>
      <c r="P1" s="646"/>
      <c r="Q1" s="1" t="s">
        <v>2274</v>
      </c>
      <c r="R1" s="56" t="s">
        <v>2527</v>
      </c>
      <c r="S1" s="51" t="s">
        <v>2528</v>
      </c>
      <c r="T1" s="56" t="s">
        <v>2529</v>
      </c>
      <c r="U1" s="51" t="s">
        <v>2530</v>
      </c>
      <c r="V1" s="56" t="s">
        <v>2532</v>
      </c>
      <c r="W1" s="52" t="s">
        <v>2531</v>
      </c>
    </row>
    <row r="2" spans="1:23" s="203" customFormat="1" ht="30" customHeight="1">
      <c r="A2" s="21" t="s">
        <v>966</v>
      </c>
      <c r="B2" s="202" t="s">
        <v>194</v>
      </c>
      <c r="C2" s="22" t="s">
        <v>307</v>
      </c>
      <c r="D2" s="21" t="s">
        <v>2076</v>
      </c>
      <c r="E2" s="23">
        <v>10100</v>
      </c>
      <c r="F2" s="23">
        <v>8667</v>
      </c>
      <c r="I2" s="205"/>
      <c r="R2" s="204"/>
      <c r="S2" s="231"/>
      <c r="T2" s="204"/>
      <c r="U2" s="231"/>
      <c r="V2" s="204"/>
      <c r="W2" s="231"/>
    </row>
    <row r="3" spans="1:23" s="13" customFormat="1" ht="25.5">
      <c r="A3" s="9" t="s">
        <v>967</v>
      </c>
      <c r="B3" s="15" t="s">
        <v>418</v>
      </c>
      <c r="C3" s="11" t="s">
        <v>308</v>
      </c>
      <c r="D3" s="10" t="s">
        <v>1964</v>
      </c>
      <c r="E3" s="26">
        <v>230</v>
      </c>
      <c r="F3" s="26">
        <v>237</v>
      </c>
      <c r="G3" s="16" t="s">
        <v>1695</v>
      </c>
      <c r="H3" s="16" t="s">
        <v>413</v>
      </c>
      <c r="I3" s="45">
        <v>0.25</v>
      </c>
      <c r="J3" s="16" t="s">
        <v>413</v>
      </c>
      <c r="K3" s="16" t="s">
        <v>413</v>
      </c>
      <c r="L3" s="16" t="s">
        <v>413</v>
      </c>
      <c r="M3" s="16" t="s">
        <v>413</v>
      </c>
      <c r="N3" s="16" t="s">
        <v>413</v>
      </c>
      <c r="O3" s="16" t="s">
        <v>413</v>
      </c>
      <c r="P3" s="16" t="s">
        <v>413</v>
      </c>
      <c r="Q3" s="16" t="s">
        <v>413</v>
      </c>
      <c r="R3" s="58" t="s">
        <v>413</v>
      </c>
      <c r="S3" s="62">
        <v>0.00025</v>
      </c>
      <c r="T3" s="58" t="s">
        <v>413</v>
      </c>
      <c r="U3" s="62">
        <v>0</v>
      </c>
      <c r="V3" s="58" t="s">
        <v>413</v>
      </c>
      <c r="W3" s="62">
        <v>0</v>
      </c>
    </row>
    <row r="4" spans="1:23" s="13" customFormat="1" ht="51">
      <c r="A4" s="9" t="s">
        <v>968</v>
      </c>
      <c r="B4" s="15" t="s">
        <v>194</v>
      </c>
      <c r="C4" s="11" t="s">
        <v>309</v>
      </c>
      <c r="D4" s="10" t="s">
        <v>2325</v>
      </c>
      <c r="E4" s="26">
        <v>1780</v>
      </c>
      <c r="F4" s="26">
        <v>1527</v>
      </c>
      <c r="G4" s="16" t="s">
        <v>2353</v>
      </c>
      <c r="H4" s="13">
        <f>(3489+3489)/2</f>
        <v>3489</v>
      </c>
      <c r="I4" s="45">
        <v>0.25</v>
      </c>
      <c r="J4" s="16" t="s">
        <v>2355</v>
      </c>
      <c r="K4" s="16" t="s">
        <v>2354</v>
      </c>
      <c r="L4" s="16" t="s">
        <v>2418</v>
      </c>
      <c r="M4" s="16" t="s">
        <v>2145</v>
      </c>
      <c r="N4" s="16" t="s">
        <v>1732</v>
      </c>
      <c r="O4" s="16" t="s">
        <v>2356</v>
      </c>
      <c r="Q4" s="16" t="s">
        <v>2357</v>
      </c>
      <c r="R4" s="57">
        <f>38.3297/0.126</f>
        <v>304.2039682539683</v>
      </c>
      <c r="S4" s="62">
        <v>0.01099</v>
      </c>
      <c r="T4" s="57">
        <f>4.906/0.126</f>
        <v>38.93650793650794</v>
      </c>
      <c r="U4" s="62">
        <v>0.00141</v>
      </c>
      <c r="V4" s="57">
        <f>805.1468/0.126</f>
        <v>6390.053968253968</v>
      </c>
      <c r="W4" s="62">
        <v>0.23077</v>
      </c>
    </row>
    <row r="5" spans="1:23" s="33" customFormat="1" ht="51">
      <c r="A5" s="29" t="s">
        <v>969</v>
      </c>
      <c r="B5" s="42" t="s">
        <v>194</v>
      </c>
      <c r="C5" s="31" t="s">
        <v>310</v>
      </c>
      <c r="D5" s="30" t="s">
        <v>1965</v>
      </c>
      <c r="E5" s="32">
        <v>8090</v>
      </c>
      <c r="F5" s="32">
        <v>6942</v>
      </c>
      <c r="I5" s="46"/>
      <c r="R5" s="60"/>
      <c r="S5" s="63"/>
      <c r="T5" s="60"/>
      <c r="U5" s="63"/>
      <c r="V5" s="60"/>
      <c r="W5" s="63"/>
    </row>
    <row r="6" spans="1:23" s="38" customFormat="1" ht="51">
      <c r="A6" s="34" t="s">
        <v>970</v>
      </c>
      <c r="B6" s="43" t="s">
        <v>198</v>
      </c>
      <c r="C6" s="36" t="s">
        <v>311</v>
      </c>
      <c r="D6" s="35" t="s">
        <v>1966</v>
      </c>
      <c r="E6" s="37">
        <v>8090</v>
      </c>
      <c r="F6" s="37">
        <v>6942</v>
      </c>
      <c r="I6" s="47"/>
      <c r="R6" s="61"/>
      <c r="S6" s="64"/>
      <c r="T6" s="61"/>
      <c r="U6" s="64"/>
      <c r="V6" s="61"/>
      <c r="W6" s="64"/>
    </row>
    <row r="7" spans="1:23" s="13" customFormat="1" ht="63.75">
      <c r="A7" s="9" t="s">
        <v>1226</v>
      </c>
      <c r="B7" s="15" t="s">
        <v>198</v>
      </c>
      <c r="C7" s="11" t="s">
        <v>312</v>
      </c>
      <c r="D7" s="10" t="s">
        <v>2599</v>
      </c>
      <c r="E7" s="26">
        <v>2250</v>
      </c>
      <c r="F7" s="26">
        <v>1931</v>
      </c>
      <c r="G7" s="16" t="s">
        <v>2597</v>
      </c>
      <c r="H7" s="16" t="s">
        <v>413</v>
      </c>
      <c r="I7" s="45">
        <v>0.25</v>
      </c>
      <c r="J7" s="16" t="s">
        <v>413</v>
      </c>
      <c r="K7" s="16" t="s">
        <v>413</v>
      </c>
      <c r="L7" s="16" t="s">
        <v>413</v>
      </c>
      <c r="M7" s="16" t="s">
        <v>413</v>
      </c>
      <c r="N7" s="16" t="s">
        <v>413</v>
      </c>
      <c r="O7" s="16" t="s">
        <v>413</v>
      </c>
      <c r="P7" s="16" t="s">
        <v>413</v>
      </c>
      <c r="Q7" s="16" t="s">
        <v>413</v>
      </c>
      <c r="R7" s="58" t="s">
        <v>413</v>
      </c>
      <c r="S7" s="62">
        <v>0.01509</v>
      </c>
      <c r="T7" s="58" t="s">
        <v>413</v>
      </c>
      <c r="U7" s="62">
        <v>0.00147</v>
      </c>
      <c r="V7" s="58" t="s">
        <v>413</v>
      </c>
      <c r="W7" s="62">
        <v>0.0037</v>
      </c>
    </row>
    <row r="8" spans="1:23" s="13" customFormat="1" ht="63.75">
      <c r="A8" s="9" t="s">
        <v>1227</v>
      </c>
      <c r="B8" s="15" t="s">
        <v>198</v>
      </c>
      <c r="C8" s="11" t="s">
        <v>313</v>
      </c>
      <c r="D8" s="10" t="s">
        <v>2600</v>
      </c>
      <c r="E8" s="26">
        <v>3840</v>
      </c>
      <c r="F8" s="26">
        <v>3295</v>
      </c>
      <c r="G8" s="16" t="s">
        <v>2597</v>
      </c>
      <c r="I8" s="45">
        <v>0.25</v>
      </c>
      <c r="J8" s="16" t="s">
        <v>413</v>
      </c>
      <c r="K8" s="16" t="s">
        <v>413</v>
      </c>
      <c r="L8" s="16" t="s">
        <v>413</v>
      </c>
      <c r="M8" s="16" t="s">
        <v>413</v>
      </c>
      <c r="N8" s="16" t="s">
        <v>413</v>
      </c>
      <c r="O8" s="16" t="s">
        <v>413</v>
      </c>
      <c r="P8" s="16" t="s">
        <v>413</v>
      </c>
      <c r="Q8" s="16" t="s">
        <v>413</v>
      </c>
      <c r="R8" s="58" t="s">
        <v>413</v>
      </c>
      <c r="S8" s="62">
        <v>0.01509</v>
      </c>
      <c r="T8" s="58" t="s">
        <v>413</v>
      </c>
      <c r="U8" s="62">
        <v>0.00147</v>
      </c>
      <c r="V8" s="58" t="s">
        <v>413</v>
      </c>
      <c r="W8" s="62">
        <v>0.0037</v>
      </c>
    </row>
    <row r="9" spans="1:23" s="13" customFormat="1" ht="25.5">
      <c r="A9" s="9" t="s">
        <v>1228</v>
      </c>
      <c r="B9" s="15" t="s">
        <v>198</v>
      </c>
      <c r="C9" s="11" t="s">
        <v>314</v>
      </c>
      <c r="D9" s="10" t="s">
        <v>2601</v>
      </c>
      <c r="E9" s="26">
        <v>1990</v>
      </c>
      <c r="F9" s="26">
        <v>1708</v>
      </c>
      <c r="G9" s="16" t="s">
        <v>2597</v>
      </c>
      <c r="H9" s="16" t="s">
        <v>413</v>
      </c>
      <c r="I9" s="45">
        <v>0.25</v>
      </c>
      <c r="J9" s="16" t="s">
        <v>413</v>
      </c>
      <c r="K9" s="16" t="s">
        <v>413</v>
      </c>
      <c r="L9" s="16" t="s">
        <v>413</v>
      </c>
      <c r="M9" s="16" t="s">
        <v>413</v>
      </c>
      <c r="N9" s="16" t="s">
        <v>413</v>
      </c>
      <c r="O9" s="16" t="s">
        <v>413</v>
      </c>
      <c r="P9" s="16" t="s">
        <v>413</v>
      </c>
      <c r="Q9" s="16" t="s">
        <v>413</v>
      </c>
      <c r="R9" s="58" t="s">
        <v>413</v>
      </c>
      <c r="S9" s="62">
        <v>0.01268</v>
      </c>
      <c r="T9" s="58" t="s">
        <v>413</v>
      </c>
      <c r="U9" s="62">
        <v>0.00155</v>
      </c>
      <c r="V9" s="58" t="s">
        <v>413</v>
      </c>
      <c r="W9" s="62">
        <v>0.00296</v>
      </c>
    </row>
    <row r="10" spans="1:6" ht="12.75">
      <c r="A10" s="4" t="s">
        <v>1229</v>
      </c>
      <c r="B10" s="5" t="s">
        <v>418</v>
      </c>
      <c r="C10" s="2" t="s">
        <v>315</v>
      </c>
      <c r="D10" s="3"/>
      <c r="E10" s="25">
        <v>0</v>
      </c>
      <c r="F10" s="25">
        <v>0</v>
      </c>
    </row>
    <row r="11" spans="1:6" ht="25.5">
      <c r="A11" s="4" t="s">
        <v>971</v>
      </c>
      <c r="B11" s="5" t="s">
        <v>418</v>
      </c>
      <c r="C11" s="2" t="s">
        <v>316</v>
      </c>
      <c r="D11" s="3"/>
      <c r="E11" s="25">
        <v>0</v>
      </c>
      <c r="F11" s="25">
        <v>0</v>
      </c>
    </row>
    <row r="12" spans="1:6" ht="51">
      <c r="A12" s="4" t="s">
        <v>972</v>
      </c>
      <c r="B12" s="5" t="s">
        <v>418</v>
      </c>
      <c r="C12" s="2" t="s">
        <v>317</v>
      </c>
      <c r="D12" s="3"/>
      <c r="E12" s="25" t="s">
        <v>1689</v>
      </c>
      <c r="F12" s="25" t="s">
        <v>1689</v>
      </c>
    </row>
    <row r="13" ht="12.75">
      <c r="F13" s="17"/>
    </row>
  </sheetData>
  <sheetProtection/>
  <mergeCells count="3">
    <mergeCell ref="J1:L1"/>
    <mergeCell ref="N1:P1"/>
    <mergeCell ref="A1:D1"/>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Z144"/>
  <sheetViews>
    <sheetView zoomScale="90" zoomScaleNormal="90" zoomScalePageLayoutView="0" workbookViewId="0" topLeftCell="A1">
      <pane ySplit="1" topLeftCell="A136" activePane="bottomLeft" state="frozen"/>
      <selection pane="topLeft" activeCell="A1" sqref="A1"/>
      <selection pane="bottomLeft" activeCell="X130" sqref="X130"/>
    </sheetView>
  </sheetViews>
  <sheetFormatPr defaultColWidth="10.8515625" defaultRowHeight="12.75"/>
  <cols>
    <col min="1" max="3" width="10.8515625" style="84" customWidth="1"/>
    <col min="4" max="4" width="46.140625" style="84" customWidth="1"/>
    <col min="5" max="6" width="10.8515625" style="84" customWidth="1"/>
    <col min="7" max="7" width="32.421875" style="84" customWidth="1"/>
    <col min="8" max="8" width="32.421875" style="221" customWidth="1"/>
    <col min="9" max="9" width="21.8515625" style="84" customWidth="1"/>
    <col min="10" max="10" width="10.8515625" style="253" customWidth="1"/>
    <col min="11" max="18" width="10.8515625" style="84" customWidth="1"/>
    <col min="19" max="24" width="10.8515625" style="130" customWidth="1"/>
    <col min="25" max="26" width="10.8515625" style="84" customWidth="1"/>
  </cols>
  <sheetData>
    <row r="1" spans="1:26" s="74" customFormat="1" ht="24.75" customHeight="1">
      <c r="A1" s="84"/>
      <c r="B1" s="84"/>
      <c r="C1" s="84"/>
      <c r="D1" s="84"/>
      <c r="E1" s="84"/>
      <c r="F1" s="84"/>
      <c r="G1" s="80" t="s">
        <v>1712</v>
      </c>
      <c r="H1" s="259" t="s">
        <v>2608</v>
      </c>
      <c r="I1" s="80" t="s">
        <v>2083</v>
      </c>
      <c r="J1" s="249" t="s">
        <v>1708</v>
      </c>
      <c r="K1" s="643" t="s">
        <v>1709</v>
      </c>
      <c r="L1" s="644"/>
      <c r="M1" s="644"/>
      <c r="N1" s="80" t="s">
        <v>1710</v>
      </c>
      <c r="O1" s="643" t="s">
        <v>1713</v>
      </c>
      <c r="P1" s="644"/>
      <c r="Q1" s="644"/>
      <c r="R1" s="80" t="s">
        <v>2274</v>
      </c>
      <c r="S1" s="82" t="s">
        <v>2527</v>
      </c>
      <c r="T1" s="82" t="s">
        <v>2528</v>
      </c>
      <c r="U1" s="82" t="s">
        <v>2529</v>
      </c>
      <c r="V1" s="82" t="s">
        <v>2530</v>
      </c>
      <c r="W1" s="82" t="s">
        <v>2532</v>
      </c>
      <c r="X1" s="83" t="s">
        <v>2531</v>
      </c>
      <c r="Y1" s="84"/>
      <c r="Z1" s="84"/>
    </row>
    <row r="2" spans="1:26" s="203" customFormat="1" ht="90">
      <c r="A2" s="85" t="s">
        <v>1084</v>
      </c>
      <c r="B2" s="206" t="s">
        <v>1436</v>
      </c>
      <c r="C2" s="87" t="s">
        <v>1494</v>
      </c>
      <c r="D2" s="86" t="s">
        <v>2079</v>
      </c>
      <c r="E2" s="89">
        <v>20690</v>
      </c>
      <c r="F2" s="89">
        <v>21982</v>
      </c>
      <c r="G2" s="207"/>
      <c r="H2" s="220"/>
      <c r="I2" s="207"/>
      <c r="J2" s="250"/>
      <c r="K2" s="207"/>
      <c r="L2" s="207"/>
      <c r="M2" s="207"/>
      <c r="N2" s="207"/>
      <c r="O2" s="207"/>
      <c r="P2" s="207"/>
      <c r="Q2" s="207"/>
      <c r="R2" s="207"/>
      <c r="S2" s="228"/>
      <c r="T2" s="228"/>
      <c r="U2" s="228"/>
      <c r="V2" s="228"/>
      <c r="W2" s="228"/>
      <c r="X2" s="228"/>
      <c r="Y2" s="207"/>
      <c r="Z2" s="207"/>
    </row>
    <row r="3" spans="1:26" s="33" customFormat="1" ht="28.5">
      <c r="A3" s="105" t="s">
        <v>1085</v>
      </c>
      <c r="B3" s="251" t="s">
        <v>418</v>
      </c>
      <c r="C3" s="159" t="s">
        <v>1495</v>
      </c>
      <c r="D3" s="158" t="s">
        <v>2024</v>
      </c>
      <c r="E3" s="161">
        <v>6460</v>
      </c>
      <c r="F3" s="161">
        <v>6836</v>
      </c>
      <c r="G3" s="162"/>
      <c r="H3" s="260"/>
      <c r="I3" s="162"/>
      <c r="J3" s="252"/>
      <c r="K3" s="162"/>
      <c r="L3" s="162"/>
      <c r="M3" s="162"/>
      <c r="N3" s="162"/>
      <c r="O3" s="162"/>
      <c r="P3" s="162"/>
      <c r="Q3" s="162"/>
      <c r="R3" s="162"/>
      <c r="S3" s="184"/>
      <c r="T3" s="184"/>
      <c r="U3" s="184"/>
      <c r="V3" s="184"/>
      <c r="W3" s="184"/>
      <c r="X3" s="184"/>
      <c r="Y3" s="162"/>
      <c r="Z3" s="162"/>
    </row>
    <row r="4" spans="1:26" s="13" customFormat="1" ht="71.25">
      <c r="A4" s="115" t="s">
        <v>1086</v>
      </c>
      <c r="B4" s="194" t="s">
        <v>418</v>
      </c>
      <c r="C4" s="117" t="s">
        <v>1496</v>
      </c>
      <c r="D4" s="116" t="s">
        <v>2025</v>
      </c>
      <c r="E4" s="119">
        <v>2380</v>
      </c>
      <c r="F4" s="119">
        <v>2519</v>
      </c>
      <c r="G4" s="141" t="s">
        <v>2595</v>
      </c>
      <c r="H4" s="182" t="s">
        <v>413</v>
      </c>
      <c r="I4" s="141" t="s">
        <v>413</v>
      </c>
      <c r="J4" s="141">
        <v>25</v>
      </c>
      <c r="K4" s="141" t="s">
        <v>413</v>
      </c>
      <c r="L4" s="141" t="s">
        <v>413</v>
      </c>
      <c r="M4" s="141" t="s">
        <v>413</v>
      </c>
      <c r="N4" s="141" t="s">
        <v>413</v>
      </c>
      <c r="O4" s="141" t="s">
        <v>413</v>
      </c>
      <c r="P4" s="141" t="s">
        <v>413</v>
      </c>
      <c r="Q4" s="141" t="s">
        <v>413</v>
      </c>
      <c r="R4" s="141" t="s">
        <v>413</v>
      </c>
      <c r="S4" s="143" t="s">
        <v>413</v>
      </c>
      <c r="T4" s="143">
        <v>0.01325</v>
      </c>
      <c r="U4" s="143" t="s">
        <v>413</v>
      </c>
      <c r="V4" s="143">
        <v>0.00208</v>
      </c>
      <c r="W4" s="143" t="s">
        <v>413</v>
      </c>
      <c r="X4" s="143">
        <v>0.00482</v>
      </c>
      <c r="Y4" s="141"/>
      <c r="Z4" s="141"/>
    </row>
    <row r="5" spans="1:6" ht="30">
      <c r="A5" s="95" t="s">
        <v>1087</v>
      </c>
      <c r="B5" s="195" t="s">
        <v>418</v>
      </c>
      <c r="C5" s="124" t="s">
        <v>1497</v>
      </c>
      <c r="D5" s="96" t="s">
        <v>2026</v>
      </c>
      <c r="E5" s="99">
        <v>460</v>
      </c>
      <c r="F5" s="99">
        <v>487</v>
      </c>
    </row>
    <row r="6" spans="1:6" ht="30">
      <c r="A6" s="95" t="s">
        <v>1088</v>
      </c>
      <c r="B6" s="195" t="s">
        <v>418</v>
      </c>
      <c r="C6" s="124" t="s">
        <v>1498</v>
      </c>
      <c r="D6" s="96" t="s">
        <v>2027</v>
      </c>
      <c r="E6" s="99">
        <v>1910</v>
      </c>
      <c r="F6" s="99">
        <v>2021</v>
      </c>
    </row>
    <row r="7" spans="1:6" ht="30">
      <c r="A7" s="95" t="s">
        <v>1089</v>
      </c>
      <c r="B7" s="195" t="s">
        <v>418</v>
      </c>
      <c r="C7" s="124" t="s">
        <v>1499</v>
      </c>
      <c r="D7" s="96"/>
      <c r="E7" s="99" t="s">
        <v>1689</v>
      </c>
      <c r="F7" s="99" t="s">
        <v>1689</v>
      </c>
    </row>
    <row r="8" spans="1:6" ht="30">
      <c r="A8" s="95" t="s">
        <v>1090</v>
      </c>
      <c r="B8" s="195" t="s">
        <v>418</v>
      </c>
      <c r="C8" s="124" t="s">
        <v>1500</v>
      </c>
      <c r="D8" s="96"/>
      <c r="E8" s="99">
        <v>0</v>
      </c>
      <c r="F8" s="99">
        <v>0</v>
      </c>
    </row>
    <row r="9" spans="1:6" ht="30">
      <c r="A9" s="95" t="s">
        <v>1091</v>
      </c>
      <c r="B9" s="195" t="s">
        <v>418</v>
      </c>
      <c r="C9" s="124" t="s">
        <v>1501</v>
      </c>
      <c r="D9" s="96"/>
      <c r="E9" s="99" t="s">
        <v>1689</v>
      </c>
      <c r="F9" s="99" t="s">
        <v>1689</v>
      </c>
    </row>
    <row r="10" spans="1:6" ht="85.5">
      <c r="A10" s="95" t="s">
        <v>1092</v>
      </c>
      <c r="B10" s="195" t="s">
        <v>418</v>
      </c>
      <c r="C10" s="124" t="s">
        <v>1502</v>
      </c>
      <c r="D10" s="96" t="s">
        <v>2028</v>
      </c>
      <c r="E10" s="101" t="s">
        <v>1689</v>
      </c>
      <c r="F10" s="101" t="s">
        <v>1689</v>
      </c>
    </row>
    <row r="11" spans="1:6" ht="30">
      <c r="A11" s="95" t="s">
        <v>1093</v>
      </c>
      <c r="B11" s="195" t="s">
        <v>418</v>
      </c>
      <c r="C11" s="124" t="s">
        <v>1503</v>
      </c>
      <c r="D11" s="96"/>
      <c r="E11" s="101" t="s">
        <v>1689</v>
      </c>
      <c r="F11" s="101" t="s">
        <v>1689</v>
      </c>
    </row>
    <row r="12" spans="1:6" ht="30">
      <c r="A12" s="95" t="s">
        <v>1094</v>
      </c>
      <c r="B12" s="195" t="s">
        <v>418</v>
      </c>
      <c r="C12" s="124" t="s">
        <v>1504</v>
      </c>
      <c r="D12" s="96"/>
      <c r="E12" s="99">
        <v>0</v>
      </c>
      <c r="F12" s="99">
        <v>0</v>
      </c>
    </row>
    <row r="13" spans="1:6" ht="30">
      <c r="A13" s="95" t="s">
        <v>1095</v>
      </c>
      <c r="B13" s="195" t="s">
        <v>418</v>
      </c>
      <c r="C13" s="124" t="s">
        <v>1505</v>
      </c>
      <c r="D13" s="96"/>
      <c r="E13" s="99" t="s">
        <v>1689</v>
      </c>
      <c r="F13" s="99" t="s">
        <v>1689</v>
      </c>
    </row>
    <row r="14" spans="1:6" ht="42.75">
      <c r="A14" s="95" t="s">
        <v>1096</v>
      </c>
      <c r="B14" s="195" t="s">
        <v>418</v>
      </c>
      <c r="C14" s="124" t="s">
        <v>1506</v>
      </c>
      <c r="D14" s="96"/>
      <c r="E14" s="99" t="s">
        <v>1689</v>
      </c>
      <c r="F14" s="99" t="s">
        <v>1689</v>
      </c>
    </row>
    <row r="15" spans="1:6" ht="30">
      <c r="A15" s="95" t="s">
        <v>1097</v>
      </c>
      <c r="B15" s="195" t="s">
        <v>418</v>
      </c>
      <c r="C15" s="124" t="s">
        <v>1507</v>
      </c>
      <c r="D15" s="96"/>
      <c r="E15" s="99" t="s">
        <v>1689</v>
      </c>
      <c r="F15" s="99" t="s">
        <v>1689</v>
      </c>
    </row>
    <row r="16" spans="1:26" s="38" customFormat="1" ht="114">
      <c r="A16" s="163" t="s">
        <v>1098</v>
      </c>
      <c r="B16" s="254" t="s">
        <v>418</v>
      </c>
      <c r="C16" s="165" t="s">
        <v>1508</v>
      </c>
      <c r="D16" s="164" t="s">
        <v>2029</v>
      </c>
      <c r="E16" s="167">
        <v>3950</v>
      </c>
      <c r="F16" s="167">
        <v>4180</v>
      </c>
      <c r="G16" s="168"/>
      <c r="H16" s="261"/>
      <c r="I16" s="168"/>
      <c r="J16" s="255"/>
      <c r="K16" s="168"/>
      <c r="L16" s="168"/>
      <c r="M16" s="168"/>
      <c r="N16" s="168"/>
      <c r="O16" s="168"/>
      <c r="P16" s="168"/>
      <c r="Q16" s="168"/>
      <c r="R16" s="168"/>
      <c r="S16" s="185"/>
      <c r="T16" s="185"/>
      <c r="U16" s="185"/>
      <c r="V16" s="185"/>
      <c r="W16" s="185"/>
      <c r="X16" s="185"/>
      <c r="Y16" s="168"/>
      <c r="Z16" s="168"/>
    </row>
    <row r="17" spans="1:26" s="13" customFormat="1" ht="85.5">
      <c r="A17" s="115" t="s">
        <v>1099</v>
      </c>
      <c r="B17" s="194" t="s">
        <v>418</v>
      </c>
      <c r="C17" s="117" t="s">
        <v>1509</v>
      </c>
      <c r="D17" s="116" t="s">
        <v>2452</v>
      </c>
      <c r="E17" s="119">
        <v>510</v>
      </c>
      <c r="F17" s="119">
        <v>540</v>
      </c>
      <c r="G17" s="141" t="s">
        <v>2485</v>
      </c>
      <c r="H17" s="182">
        <v>93.4770619694814</v>
      </c>
      <c r="I17" s="141">
        <v>99</v>
      </c>
      <c r="J17" s="174">
        <v>0.25</v>
      </c>
      <c r="K17" s="141" t="s">
        <v>2486</v>
      </c>
      <c r="L17" s="141" t="s">
        <v>2236</v>
      </c>
      <c r="M17" s="141" t="s">
        <v>2487</v>
      </c>
      <c r="N17" s="141" t="s">
        <v>2439</v>
      </c>
      <c r="O17" s="141" t="s">
        <v>1715</v>
      </c>
      <c r="P17" s="141" t="s">
        <v>2488</v>
      </c>
      <c r="Q17" s="141"/>
      <c r="R17" s="141" t="s">
        <v>2489</v>
      </c>
      <c r="S17" s="143">
        <f>0.9523/0.041</f>
        <v>23.226829268292683</v>
      </c>
      <c r="T17" s="143">
        <v>0.01019</v>
      </c>
      <c r="U17" s="143">
        <f>0.0712/0.041</f>
        <v>1.7365853658536585</v>
      </c>
      <c r="V17" s="143">
        <v>0.00076</v>
      </c>
      <c r="W17" s="143">
        <f>10.0093/0.041</f>
        <v>244.1292682926829</v>
      </c>
      <c r="X17" s="143">
        <v>0.10709</v>
      </c>
      <c r="Y17" s="141"/>
      <c r="Z17" s="141"/>
    </row>
    <row r="18" spans="1:26" s="13" customFormat="1" ht="30">
      <c r="A18" s="115" t="s">
        <v>1100</v>
      </c>
      <c r="B18" s="194" t="s">
        <v>418</v>
      </c>
      <c r="C18" s="117" t="s">
        <v>1510</v>
      </c>
      <c r="D18" s="116" t="s">
        <v>2453</v>
      </c>
      <c r="E18" s="119">
        <v>1020</v>
      </c>
      <c r="F18" s="119">
        <v>1079</v>
      </c>
      <c r="G18" s="141" t="s">
        <v>2474</v>
      </c>
      <c r="H18" s="182">
        <v>36.824297139492664</v>
      </c>
      <c r="I18" s="141">
        <v>39</v>
      </c>
      <c r="J18" s="174">
        <v>0.25</v>
      </c>
      <c r="K18" s="141" t="s">
        <v>2477</v>
      </c>
      <c r="L18" s="141" t="s">
        <v>2472</v>
      </c>
      <c r="M18" s="141" t="s">
        <v>2476</v>
      </c>
      <c r="N18" s="141" t="s">
        <v>2439</v>
      </c>
      <c r="O18" s="141" t="s">
        <v>1715</v>
      </c>
      <c r="P18" s="141" t="s">
        <v>2478</v>
      </c>
      <c r="Q18" s="141"/>
      <c r="R18" s="141" t="s">
        <v>2480</v>
      </c>
      <c r="S18" s="143">
        <f>0.86/0.275</f>
        <v>3.127272727272727</v>
      </c>
      <c r="T18" s="143">
        <v>0.02338</v>
      </c>
      <c r="U18" s="143">
        <f>0.7442/0.275</f>
        <v>2.706181818181818</v>
      </c>
      <c r="V18" s="143">
        <v>0.02021</v>
      </c>
      <c r="W18" s="143">
        <f>1180.681/0.275</f>
        <v>4293.385454545454</v>
      </c>
      <c r="X18" s="143">
        <v>32.0663</v>
      </c>
      <c r="Y18" s="141"/>
      <c r="Z18" s="141"/>
    </row>
    <row r="19" spans="1:26" s="13" customFormat="1" ht="114">
      <c r="A19" s="115" t="s">
        <v>1101</v>
      </c>
      <c r="B19" s="194" t="s">
        <v>418</v>
      </c>
      <c r="C19" s="117" t="s">
        <v>1511</v>
      </c>
      <c r="D19" s="116" t="s">
        <v>2454</v>
      </c>
      <c r="E19" s="119">
        <v>1760</v>
      </c>
      <c r="F19" s="119">
        <v>1862</v>
      </c>
      <c r="G19" s="141" t="s">
        <v>2475</v>
      </c>
      <c r="H19" s="182">
        <v>23.510897404445316</v>
      </c>
      <c r="I19" s="141">
        <v>24.9</v>
      </c>
      <c r="J19" s="174">
        <v>0.25</v>
      </c>
      <c r="K19" s="141" t="s">
        <v>2481</v>
      </c>
      <c r="L19" s="141" t="s">
        <v>2472</v>
      </c>
      <c r="M19" s="141" t="s">
        <v>1777</v>
      </c>
      <c r="N19" s="141" t="s">
        <v>2439</v>
      </c>
      <c r="O19" s="141" t="s">
        <v>2482</v>
      </c>
      <c r="P19" s="141" t="s">
        <v>2483</v>
      </c>
      <c r="Q19" s="141"/>
      <c r="R19" s="141" t="s">
        <v>2484</v>
      </c>
      <c r="S19" s="143">
        <f>0.2595/0.134</f>
        <v>1.9365671641791045</v>
      </c>
      <c r="T19" s="143">
        <v>0.01104</v>
      </c>
      <c r="U19" s="143">
        <f>0.1276/0.134</f>
        <v>0.9522388059701491</v>
      </c>
      <c r="V19" s="143">
        <v>0.00543</v>
      </c>
      <c r="W19" s="143">
        <f>567.0389/0.134</f>
        <v>4231.633582089552</v>
      </c>
      <c r="X19" s="143">
        <v>24.11905</v>
      </c>
      <c r="Y19" s="141"/>
      <c r="Z19" s="141"/>
    </row>
    <row r="20" spans="1:26" s="13" customFormat="1" ht="71.25">
      <c r="A20" s="115" t="s">
        <v>1102</v>
      </c>
      <c r="B20" s="194" t="s">
        <v>418</v>
      </c>
      <c r="C20" s="117" t="s">
        <v>1512</v>
      </c>
      <c r="D20" s="116" t="s">
        <v>2455</v>
      </c>
      <c r="E20" s="119">
        <v>390</v>
      </c>
      <c r="F20" s="119">
        <v>413</v>
      </c>
      <c r="G20" s="141" t="s">
        <v>2526</v>
      </c>
      <c r="H20" s="182">
        <v>30.120386634610668</v>
      </c>
      <c r="I20" s="141">
        <v>31.9</v>
      </c>
      <c r="J20" s="174">
        <v>0.25</v>
      </c>
      <c r="K20" s="141" t="s">
        <v>2467</v>
      </c>
      <c r="L20" s="141" t="s">
        <v>2470</v>
      </c>
      <c r="M20" s="141" t="s">
        <v>2468</v>
      </c>
      <c r="N20" s="141" t="s">
        <v>2466</v>
      </c>
      <c r="O20" s="141" t="s">
        <v>1715</v>
      </c>
      <c r="P20" s="141" t="s">
        <v>2469</v>
      </c>
      <c r="Q20" s="141"/>
      <c r="R20" s="141" t="s">
        <v>2479</v>
      </c>
      <c r="S20" s="143">
        <f>1.5486/0.678</f>
        <v>2.2840707964601767</v>
      </c>
      <c r="T20" s="143">
        <v>0.05142</v>
      </c>
      <c r="U20" s="143">
        <f>0.0917/0.678</f>
        <v>0.13525073746312685</v>
      </c>
      <c r="V20" s="143">
        <v>0.00304</v>
      </c>
      <c r="W20" s="143">
        <f>264.7007/0.678</f>
        <v>390.41401179941</v>
      </c>
      <c r="X20" s="143">
        <v>8.7882</v>
      </c>
      <c r="Y20" s="141"/>
      <c r="Z20" s="141"/>
    </row>
    <row r="21" spans="1:6" ht="30">
      <c r="A21" s="95" t="s">
        <v>1644</v>
      </c>
      <c r="B21" s="195" t="s">
        <v>418</v>
      </c>
      <c r="C21" s="124" t="s">
        <v>1513</v>
      </c>
      <c r="D21" s="96"/>
      <c r="E21" s="99" t="s">
        <v>1689</v>
      </c>
      <c r="F21" s="99" t="s">
        <v>1689</v>
      </c>
    </row>
    <row r="22" spans="1:7" ht="30">
      <c r="A22" s="95" t="s">
        <v>416</v>
      </c>
      <c r="B22" s="195" t="s">
        <v>418</v>
      </c>
      <c r="C22" s="124" t="s">
        <v>1514</v>
      </c>
      <c r="D22" s="96"/>
      <c r="E22" s="99">
        <v>0</v>
      </c>
      <c r="F22" s="99">
        <v>0</v>
      </c>
      <c r="G22" s="144"/>
    </row>
    <row r="23" spans="1:6" ht="30">
      <c r="A23" s="95" t="s">
        <v>417</v>
      </c>
      <c r="B23" s="195" t="s">
        <v>418</v>
      </c>
      <c r="C23" s="124" t="s">
        <v>1515</v>
      </c>
      <c r="D23" s="96"/>
      <c r="E23" s="99">
        <v>350</v>
      </c>
      <c r="F23" s="99">
        <v>370</v>
      </c>
    </row>
    <row r="24" spans="1:26" s="13" customFormat="1" ht="30">
      <c r="A24" s="115" t="s">
        <v>1103</v>
      </c>
      <c r="B24" s="194" t="s">
        <v>418</v>
      </c>
      <c r="C24" s="117" t="s">
        <v>1516</v>
      </c>
      <c r="D24" s="116" t="s">
        <v>2465</v>
      </c>
      <c r="E24" s="119">
        <v>130</v>
      </c>
      <c r="F24" s="119">
        <v>138</v>
      </c>
      <c r="G24" s="141" t="s">
        <v>2520</v>
      </c>
      <c r="H24" s="182">
        <v>23.510897404445316</v>
      </c>
      <c r="I24" s="141">
        <v>24.9</v>
      </c>
      <c r="J24" s="174">
        <v>0.25</v>
      </c>
      <c r="K24" s="141" t="s">
        <v>2522</v>
      </c>
      <c r="L24" s="141" t="s">
        <v>2496</v>
      </c>
      <c r="M24" s="141" t="s">
        <v>2523</v>
      </c>
      <c r="N24" s="141" t="s">
        <v>2442</v>
      </c>
      <c r="O24" s="141" t="s">
        <v>1715</v>
      </c>
      <c r="P24" s="141" t="s">
        <v>2524</v>
      </c>
      <c r="Q24" s="141"/>
      <c r="R24" s="141" t="s">
        <v>2525</v>
      </c>
      <c r="S24" s="143">
        <f>0.6209/0.18</f>
        <v>3.4494444444444445</v>
      </c>
      <c r="T24" s="143">
        <v>0.02641</v>
      </c>
      <c r="U24" s="143">
        <f>0.0223/0.18</f>
        <v>0.1238888888888889</v>
      </c>
      <c r="V24" s="143">
        <v>0.00095</v>
      </c>
      <c r="W24" s="143">
        <f>54.7217/0.18</f>
        <v>304.00944444444445</v>
      </c>
      <c r="X24" s="143">
        <v>2.32759</v>
      </c>
      <c r="Y24" s="141"/>
      <c r="Z24" s="141"/>
    </row>
    <row r="25" spans="1:26" s="13" customFormat="1" ht="30">
      <c r="A25" s="115" t="s">
        <v>1104</v>
      </c>
      <c r="B25" s="194" t="s">
        <v>418</v>
      </c>
      <c r="C25" s="117" t="s">
        <v>1517</v>
      </c>
      <c r="D25" s="116" t="s">
        <v>2464</v>
      </c>
      <c r="E25" s="119">
        <v>150</v>
      </c>
      <c r="F25" s="119">
        <v>150</v>
      </c>
      <c r="G25" s="141" t="s">
        <v>2521</v>
      </c>
      <c r="H25" s="182">
        <v>37.76850988665915</v>
      </c>
      <c r="I25" s="141">
        <v>40</v>
      </c>
      <c r="J25" s="174">
        <v>0.25</v>
      </c>
      <c r="K25" s="141" t="s">
        <v>2516</v>
      </c>
      <c r="L25" s="141" t="s">
        <v>2493</v>
      </c>
      <c r="M25" s="141" t="s">
        <v>2517</v>
      </c>
      <c r="N25" s="141" t="s">
        <v>2442</v>
      </c>
      <c r="O25" s="141" t="s">
        <v>2503</v>
      </c>
      <c r="P25" s="141" t="s">
        <v>2518</v>
      </c>
      <c r="Q25" s="141"/>
      <c r="R25" s="141" t="s">
        <v>2519</v>
      </c>
      <c r="S25" s="143">
        <f>1.4187/0.792</f>
        <v>1.7912878787878788</v>
      </c>
      <c r="T25" s="143">
        <v>0.03756</v>
      </c>
      <c r="U25" s="143">
        <f>0.2636/0.792</f>
        <v>0.3328282828282828</v>
      </c>
      <c r="V25" s="143">
        <v>0.00698</v>
      </c>
      <c r="W25" s="143">
        <f>565.7339/0.792</f>
        <v>714.3104797979797</v>
      </c>
      <c r="X25" s="143">
        <v>14.97839</v>
      </c>
      <c r="Y25" s="141"/>
      <c r="Z25" s="141"/>
    </row>
    <row r="26" spans="1:26" s="33" customFormat="1" ht="85.5">
      <c r="A26" s="105" t="s">
        <v>1105</v>
      </c>
      <c r="B26" s="251" t="s">
        <v>418</v>
      </c>
      <c r="C26" s="159" t="s">
        <v>1518</v>
      </c>
      <c r="D26" s="158" t="s">
        <v>2030</v>
      </c>
      <c r="E26" s="161">
        <v>1660</v>
      </c>
      <c r="F26" s="161">
        <v>1647</v>
      </c>
      <c r="G26" s="162"/>
      <c r="H26" s="260"/>
      <c r="I26" s="162"/>
      <c r="J26" s="252"/>
      <c r="K26" s="162"/>
      <c r="L26" s="162"/>
      <c r="M26" s="162"/>
      <c r="N26" s="162"/>
      <c r="O26" s="162"/>
      <c r="P26" s="162"/>
      <c r="Q26" s="162"/>
      <c r="R26" s="162"/>
      <c r="S26" s="184"/>
      <c r="T26" s="184"/>
      <c r="U26" s="184"/>
      <c r="V26" s="184"/>
      <c r="W26" s="184"/>
      <c r="X26" s="184"/>
      <c r="Y26" s="162"/>
      <c r="Z26" s="162"/>
    </row>
    <row r="27" spans="1:26" s="14" customFormat="1" ht="28.5">
      <c r="A27" s="95" t="s">
        <v>1106</v>
      </c>
      <c r="B27" s="195" t="s">
        <v>418</v>
      </c>
      <c r="C27" s="97" t="s">
        <v>1519</v>
      </c>
      <c r="D27" s="169" t="s">
        <v>2031</v>
      </c>
      <c r="E27" s="171" t="s">
        <v>1689</v>
      </c>
      <c r="F27" s="171" t="s">
        <v>1689</v>
      </c>
      <c r="G27" s="144"/>
      <c r="H27" s="223"/>
      <c r="I27" s="144"/>
      <c r="J27" s="256"/>
      <c r="K27" s="144"/>
      <c r="L27" s="144"/>
      <c r="M27" s="144"/>
      <c r="N27" s="144"/>
      <c r="O27" s="144"/>
      <c r="P27" s="144"/>
      <c r="Q27" s="144"/>
      <c r="R27" s="144"/>
      <c r="S27" s="186"/>
      <c r="T27" s="186"/>
      <c r="U27" s="186"/>
      <c r="V27" s="186"/>
      <c r="W27" s="186"/>
      <c r="X27" s="186"/>
      <c r="Y27" s="144"/>
      <c r="Z27" s="144"/>
    </row>
    <row r="28" spans="1:8" ht="30">
      <c r="A28" s="95" t="s">
        <v>1107</v>
      </c>
      <c r="B28" s="195" t="s">
        <v>418</v>
      </c>
      <c r="C28" s="124" t="s">
        <v>1520</v>
      </c>
      <c r="D28" s="96" t="s">
        <v>2032</v>
      </c>
      <c r="E28" s="99" t="s">
        <v>1689</v>
      </c>
      <c r="F28" s="99" t="s">
        <v>1689</v>
      </c>
      <c r="G28" s="144"/>
      <c r="H28" s="223"/>
    </row>
    <row r="29" spans="1:6" ht="30">
      <c r="A29" s="95" t="s">
        <v>1108</v>
      </c>
      <c r="B29" s="195" t="s">
        <v>418</v>
      </c>
      <c r="C29" s="124" t="s">
        <v>1521</v>
      </c>
      <c r="D29" s="96" t="s">
        <v>2033</v>
      </c>
      <c r="E29" s="99" t="s">
        <v>1689</v>
      </c>
      <c r="F29" s="99" t="s">
        <v>1689</v>
      </c>
    </row>
    <row r="30" spans="1:26" s="13" customFormat="1" ht="85.5">
      <c r="A30" s="115" t="s">
        <v>1109</v>
      </c>
      <c r="B30" s="194" t="s">
        <v>418</v>
      </c>
      <c r="C30" s="117" t="s">
        <v>380</v>
      </c>
      <c r="D30" s="116" t="s">
        <v>2034</v>
      </c>
      <c r="E30" s="119">
        <v>320</v>
      </c>
      <c r="F30" s="119">
        <v>318</v>
      </c>
      <c r="G30" s="141" t="s">
        <v>2494</v>
      </c>
      <c r="H30" s="182">
        <v>288.3119885758325</v>
      </c>
      <c r="I30" s="141">
        <v>299</v>
      </c>
      <c r="J30" s="174">
        <v>0.25</v>
      </c>
      <c r="K30" s="141" t="s">
        <v>2481</v>
      </c>
      <c r="L30" s="141" t="s">
        <v>2495</v>
      </c>
      <c r="M30" s="141" t="s">
        <v>2497</v>
      </c>
      <c r="N30" s="141" t="s">
        <v>1756</v>
      </c>
      <c r="O30" s="141"/>
      <c r="P30" s="141"/>
      <c r="Q30" s="141"/>
      <c r="R30" s="141" t="s">
        <v>2481</v>
      </c>
      <c r="S30" s="143">
        <f>1.3174/0.06</f>
        <v>21.956666666666667</v>
      </c>
      <c r="T30" s="143">
        <v>0.00457</v>
      </c>
      <c r="U30" s="143">
        <f>0.064/0.06</f>
        <v>1.0666666666666667</v>
      </c>
      <c r="V30" s="143">
        <v>0.00022</v>
      </c>
      <c r="W30" s="143">
        <f>14.3757/0.06</f>
        <v>239.595</v>
      </c>
      <c r="X30" s="143">
        <v>0.04986</v>
      </c>
      <c r="Y30" s="141"/>
      <c r="Z30" s="141"/>
    </row>
    <row r="31" spans="1:26" s="13" customFormat="1" ht="71.25">
      <c r="A31" s="115" t="s">
        <v>1110</v>
      </c>
      <c r="B31" s="194" t="s">
        <v>418</v>
      </c>
      <c r="C31" s="117" t="s">
        <v>381</v>
      </c>
      <c r="D31" s="116" t="s">
        <v>2035</v>
      </c>
      <c r="E31" s="119">
        <v>650</v>
      </c>
      <c r="F31" s="119">
        <v>645</v>
      </c>
      <c r="G31" s="141" t="s">
        <v>2473</v>
      </c>
      <c r="H31" s="182">
        <v>1541.8423736881475</v>
      </c>
      <c r="I31" s="141">
        <v>1599</v>
      </c>
      <c r="J31" s="174">
        <v>0.25</v>
      </c>
      <c r="K31" s="141" t="s">
        <v>2500</v>
      </c>
      <c r="L31" s="141" t="s">
        <v>2499</v>
      </c>
      <c r="M31" s="141" t="s">
        <v>2501</v>
      </c>
      <c r="N31" s="141" t="s">
        <v>2145</v>
      </c>
      <c r="O31" s="141" t="s">
        <v>2495</v>
      </c>
      <c r="P31" s="141" t="s">
        <v>2498</v>
      </c>
      <c r="Q31" s="141"/>
      <c r="R31" s="141" t="s">
        <v>2502</v>
      </c>
      <c r="S31" s="143">
        <f>8.4291/0.04</f>
        <v>210.7275</v>
      </c>
      <c r="T31" s="143">
        <v>0.00547</v>
      </c>
      <c r="U31" s="143">
        <f>0.4854/0.04</f>
        <v>12.135</v>
      </c>
      <c r="V31" s="143">
        <v>0.00031</v>
      </c>
      <c r="W31" s="143">
        <f>41.8187/0.04</f>
        <v>1045.4675</v>
      </c>
      <c r="X31" s="143">
        <v>0.02712</v>
      </c>
      <c r="Y31" s="141"/>
      <c r="Z31" s="141"/>
    </row>
    <row r="32" spans="1:6" ht="30">
      <c r="A32" s="95" t="s">
        <v>1111</v>
      </c>
      <c r="B32" s="195" t="s">
        <v>418</v>
      </c>
      <c r="C32" s="124" t="s">
        <v>382</v>
      </c>
      <c r="D32" s="96"/>
      <c r="E32" s="99">
        <v>0</v>
      </c>
      <c r="F32" s="99">
        <v>0</v>
      </c>
    </row>
    <row r="33" spans="1:6" ht="30">
      <c r="A33" s="95" t="s">
        <v>1112</v>
      </c>
      <c r="B33" s="195" t="s">
        <v>418</v>
      </c>
      <c r="C33" s="124" t="s">
        <v>383</v>
      </c>
      <c r="D33" s="96"/>
      <c r="E33" s="99">
        <v>0</v>
      </c>
      <c r="F33" s="99">
        <v>0</v>
      </c>
    </row>
    <row r="34" spans="1:6" ht="30">
      <c r="A34" s="95" t="s">
        <v>1113</v>
      </c>
      <c r="B34" s="195" t="s">
        <v>418</v>
      </c>
      <c r="C34" s="124" t="s">
        <v>384</v>
      </c>
      <c r="D34" s="96"/>
      <c r="E34" s="99" t="s">
        <v>1689</v>
      </c>
      <c r="F34" s="99" t="s">
        <v>1689</v>
      </c>
    </row>
    <row r="35" spans="1:6" ht="30">
      <c r="A35" s="95" t="s">
        <v>1114</v>
      </c>
      <c r="B35" s="195" t="s">
        <v>418</v>
      </c>
      <c r="C35" s="124" t="s">
        <v>385</v>
      </c>
      <c r="D35" s="96"/>
      <c r="E35" s="99" t="s">
        <v>1689</v>
      </c>
      <c r="F35" s="99" t="s">
        <v>1689</v>
      </c>
    </row>
    <row r="36" spans="1:6" ht="30">
      <c r="A36" s="95" t="s">
        <v>1115</v>
      </c>
      <c r="B36" s="195" t="s">
        <v>418</v>
      </c>
      <c r="C36" s="124" t="s">
        <v>386</v>
      </c>
      <c r="D36" s="96"/>
      <c r="E36" s="99">
        <v>0</v>
      </c>
      <c r="F36" s="99">
        <v>0</v>
      </c>
    </row>
    <row r="37" spans="1:6" ht="30">
      <c r="A37" s="95" t="s">
        <v>1116</v>
      </c>
      <c r="B37" s="195" t="s">
        <v>418</v>
      </c>
      <c r="C37" s="124" t="s">
        <v>387</v>
      </c>
      <c r="D37" s="96"/>
      <c r="E37" s="99">
        <v>0</v>
      </c>
      <c r="F37" s="99">
        <v>0</v>
      </c>
    </row>
    <row r="38" spans="1:6" ht="30">
      <c r="A38" s="95" t="s">
        <v>1117</v>
      </c>
      <c r="B38" s="195" t="s">
        <v>418</v>
      </c>
      <c r="C38" s="124" t="s">
        <v>388</v>
      </c>
      <c r="D38" s="96"/>
      <c r="E38" s="99" t="s">
        <v>1689</v>
      </c>
      <c r="F38" s="99" t="s">
        <v>1689</v>
      </c>
    </row>
    <row r="39" spans="1:6" ht="30">
      <c r="A39" s="95" t="s">
        <v>1118</v>
      </c>
      <c r="B39" s="195" t="s">
        <v>418</v>
      </c>
      <c r="C39" s="124" t="s">
        <v>389</v>
      </c>
      <c r="D39" s="96"/>
      <c r="E39" s="99" t="s">
        <v>1689</v>
      </c>
      <c r="F39" s="99" t="s">
        <v>1689</v>
      </c>
    </row>
    <row r="40" spans="1:6" ht="30">
      <c r="A40" s="95" t="s">
        <v>1119</v>
      </c>
      <c r="B40" s="195" t="s">
        <v>418</v>
      </c>
      <c r="C40" s="124" t="s">
        <v>390</v>
      </c>
      <c r="D40" s="96"/>
      <c r="E40" s="99" t="s">
        <v>1689</v>
      </c>
      <c r="F40" s="99" t="s">
        <v>1689</v>
      </c>
    </row>
    <row r="41" spans="1:6" ht="30">
      <c r="A41" s="95" t="s">
        <v>1120</v>
      </c>
      <c r="B41" s="195" t="s">
        <v>418</v>
      </c>
      <c r="C41" s="124" t="s">
        <v>391</v>
      </c>
      <c r="D41" s="96"/>
      <c r="E41" s="99" t="s">
        <v>1689</v>
      </c>
      <c r="F41" s="99" t="s">
        <v>1689</v>
      </c>
    </row>
    <row r="42" spans="1:6" ht="30">
      <c r="A42" s="95" t="s">
        <v>1121</v>
      </c>
      <c r="B42" s="195" t="s">
        <v>418</v>
      </c>
      <c r="C42" s="124" t="s">
        <v>392</v>
      </c>
      <c r="D42" s="96"/>
      <c r="E42" s="99" t="s">
        <v>1689</v>
      </c>
      <c r="F42" s="99" t="s">
        <v>1689</v>
      </c>
    </row>
    <row r="43" spans="1:6" ht="57">
      <c r="A43" s="95" t="s">
        <v>1122</v>
      </c>
      <c r="B43" s="195" t="s">
        <v>418</v>
      </c>
      <c r="C43" s="124" t="s">
        <v>393</v>
      </c>
      <c r="D43" s="96"/>
      <c r="E43" s="99">
        <v>0</v>
      </c>
      <c r="F43" s="99">
        <v>0</v>
      </c>
    </row>
    <row r="44" spans="1:6" ht="30">
      <c r="A44" s="95" t="s">
        <v>1123</v>
      </c>
      <c r="B44" s="195" t="s">
        <v>418</v>
      </c>
      <c r="C44" s="124" t="s">
        <v>394</v>
      </c>
      <c r="D44" s="96"/>
      <c r="E44" s="99">
        <v>0</v>
      </c>
      <c r="F44" s="99">
        <v>0</v>
      </c>
    </row>
    <row r="45" spans="1:6" ht="30">
      <c r="A45" s="95" t="s">
        <v>1124</v>
      </c>
      <c r="B45" s="195" t="s">
        <v>418</v>
      </c>
      <c r="C45" s="124" t="s">
        <v>395</v>
      </c>
      <c r="D45" s="96"/>
      <c r="E45" s="99" t="s">
        <v>1689</v>
      </c>
      <c r="F45" s="99" t="s">
        <v>1689</v>
      </c>
    </row>
    <row r="46" spans="1:6" ht="30">
      <c r="A46" s="95" t="s">
        <v>1125</v>
      </c>
      <c r="B46" s="195" t="s">
        <v>418</v>
      </c>
      <c r="C46" s="124" t="s">
        <v>396</v>
      </c>
      <c r="D46" s="96"/>
      <c r="E46" s="99">
        <v>0</v>
      </c>
      <c r="F46" s="99">
        <v>0</v>
      </c>
    </row>
    <row r="47" spans="1:6" ht="30">
      <c r="A47" s="95" t="s">
        <v>1126</v>
      </c>
      <c r="B47" s="195" t="s">
        <v>418</v>
      </c>
      <c r="C47" s="124" t="s">
        <v>385</v>
      </c>
      <c r="D47" s="96"/>
      <c r="E47" s="99">
        <v>0</v>
      </c>
      <c r="F47" s="99">
        <v>0</v>
      </c>
    </row>
    <row r="48" spans="1:6" ht="30">
      <c r="A48" s="95" t="s">
        <v>1127</v>
      </c>
      <c r="B48" s="195" t="s">
        <v>418</v>
      </c>
      <c r="C48" s="124" t="s">
        <v>397</v>
      </c>
      <c r="D48" s="96"/>
      <c r="E48" s="99">
        <v>0</v>
      </c>
      <c r="F48" s="99">
        <v>0</v>
      </c>
    </row>
    <row r="49" spans="1:26" s="33" customFormat="1" ht="28.5">
      <c r="A49" s="105" t="s">
        <v>1128</v>
      </c>
      <c r="B49" s="251" t="s">
        <v>1436</v>
      </c>
      <c r="C49" s="159" t="s">
        <v>398</v>
      </c>
      <c r="D49" s="158" t="s">
        <v>2036</v>
      </c>
      <c r="E49" s="161">
        <v>1600</v>
      </c>
      <c r="F49" s="161">
        <v>1611</v>
      </c>
      <c r="G49" s="162"/>
      <c r="H49" s="260"/>
      <c r="I49" s="162"/>
      <c r="J49" s="252"/>
      <c r="K49" s="162"/>
      <c r="L49" s="162"/>
      <c r="M49" s="162"/>
      <c r="N49" s="162"/>
      <c r="O49" s="162"/>
      <c r="P49" s="162"/>
      <c r="Q49" s="162"/>
      <c r="R49" s="162"/>
      <c r="S49" s="184"/>
      <c r="T49" s="184"/>
      <c r="U49" s="184"/>
      <c r="V49" s="184"/>
      <c r="W49" s="184"/>
      <c r="X49" s="184"/>
      <c r="Y49" s="162"/>
      <c r="Z49" s="162"/>
    </row>
    <row r="50" spans="1:6" ht="57">
      <c r="A50" s="95" t="s">
        <v>1129</v>
      </c>
      <c r="B50" s="195" t="s">
        <v>196</v>
      </c>
      <c r="C50" s="124" t="s">
        <v>399</v>
      </c>
      <c r="D50" s="96" t="s">
        <v>2038</v>
      </c>
      <c r="E50" s="99">
        <v>0</v>
      </c>
      <c r="F50" s="99">
        <v>0</v>
      </c>
    </row>
    <row r="51" spans="1:6" ht="71.25">
      <c r="A51" s="95" t="s">
        <v>1130</v>
      </c>
      <c r="B51" s="195" t="s">
        <v>198</v>
      </c>
      <c r="C51" s="124" t="s">
        <v>400</v>
      </c>
      <c r="D51" s="96" t="s">
        <v>2039</v>
      </c>
      <c r="E51" s="99">
        <v>0</v>
      </c>
      <c r="F51" s="99">
        <v>0</v>
      </c>
    </row>
    <row r="52" spans="1:6" ht="30">
      <c r="A52" s="95" t="s">
        <v>1131</v>
      </c>
      <c r="B52" s="195" t="s">
        <v>418</v>
      </c>
      <c r="C52" s="124" t="s">
        <v>401</v>
      </c>
      <c r="D52" s="96"/>
      <c r="E52" s="99">
        <v>0</v>
      </c>
      <c r="F52" s="99">
        <v>0</v>
      </c>
    </row>
    <row r="53" spans="1:6" ht="30">
      <c r="A53" s="95" t="s">
        <v>1132</v>
      </c>
      <c r="B53" s="195" t="s">
        <v>198</v>
      </c>
      <c r="C53" s="124" t="s">
        <v>402</v>
      </c>
      <c r="D53" s="96"/>
      <c r="E53" s="99">
        <v>0</v>
      </c>
      <c r="F53" s="99">
        <v>0</v>
      </c>
    </row>
    <row r="54" spans="1:26" s="13" customFormat="1" ht="42.75">
      <c r="A54" s="115" t="s">
        <v>1133</v>
      </c>
      <c r="B54" s="194" t="s">
        <v>1436</v>
      </c>
      <c r="C54" s="117" t="s">
        <v>403</v>
      </c>
      <c r="D54" s="116" t="s">
        <v>2037</v>
      </c>
      <c r="E54" s="119">
        <v>1600</v>
      </c>
      <c r="F54" s="119">
        <v>1611</v>
      </c>
      <c r="G54" s="141" t="s">
        <v>2595</v>
      </c>
      <c r="H54" s="182" t="s">
        <v>413</v>
      </c>
      <c r="I54" s="141" t="s">
        <v>413</v>
      </c>
      <c r="J54" s="141">
        <v>0</v>
      </c>
      <c r="K54" s="141" t="s">
        <v>413</v>
      </c>
      <c r="L54" s="141" t="s">
        <v>413</v>
      </c>
      <c r="M54" s="141" t="s">
        <v>413</v>
      </c>
      <c r="N54" s="141" t="s">
        <v>413</v>
      </c>
      <c r="O54" s="141" t="s">
        <v>413</v>
      </c>
      <c r="P54" s="141" t="s">
        <v>413</v>
      </c>
      <c r="Q54" s="141" t="s">
        <v>413</v>
      </c>
      <c r="R54" s="141" t="s">
        <v>413</v>
      </c>
      <c r="S54" s="143" t="s">
        <v>413</v>
      </c>
      <c r="T54" s="143">
        <v>0.00618</v>
      </c>
      <c r="U54" s="143" t="s">
        <v>413</v>
      </c>
      <c r="V54" s="143">
        <v>0.00091</v>
      </c>
      <c r="W54" s="143" t="s">
        <v>413</v>
      </c>
      <c r="X54" s="143">
        <v>0.00116</v>
      </c>
      <c r="Y54" s="141"/>
      <c r="Z54" s="141"/>
    </row>
    <row r="55" spans="1:6" ht="42.75">
      <c r="A55" s="95" t="s">
        <v>1134</v>
      </c>
      <c r="B55" s="195" t="s">
        <v>198</v>
      </c>
      <c r="C55" s="124" t="s">
        <v>404</v>
      </c>
      <c r="D55" s="96" t="s">
        <v>2040</v>
      </c>
      <c r="E55" s="99">
        <v>170</v>
      </c>
      <c r="F55" s="99">
        <v>171</v>
      </c>
    </row>
    <row r="56" spans="1:6" ht="57">
      <c r="A56" s="95" t="s">
        <v>1135</v>
      </c>
      <c r="B56" s="195" t="s">
        <v>198</v>
      </c>
      <c r="C56" s="124" t="s">
        <v>405</v>
      </c>
      <c r="D56" s="96" t="s">
        <v>2041</v>
      </c>
      <c r="E56" s="99">
        <v>1420</v>
      </c>
      <c r="F56" s="99">
        <v>1430</v>
      </c>
    </row>
    <row r="57" spans="1:6" ht="57">
      <c r="A57" s="95" t="s">
        <v>1136</v>
      </c>
      <c r="B57" s="195" t="s">
        <v>418</v>
      </c>
      <c r="C57" s="124" t="s">
        <v>406</v>
      </c>
      <c r="D57" s="96"/>
      <c r="E57" s="99" t="s">
        <v>1689</v>
      </c>
      <c r="F57" s="99" t="s">
        <v>1689</v>
      </c>
    </row>
    <row r="58" spans="1:6" ht="30">
      <c r="A58" s="95" t="s">
        <v>1137</v>
      </c>
      <c r="B58" s="195" t="s">
        <v>418</v>
      </c>
      <c r="C58" s="124" t="s">
        <v>407</v>
      </c>
      <c r="D58" s="96"/>
      <c r="E58" s="99">
        <v>0</v>
      </c>
      <c r="F58" s="99">
        <v>0</v>
      </c>
    </row>
    <row r="59" spans="1:6" ht="30">
      <c r="A59" s="95" t="s">
        <v>1138</v>
      </c>
      <c r="B59" s="195" t="s">
        <v>418</v>
      </c>
      <c r="C59" s="124" t="s">
        <v>408</v>
      </c>
      <c r="D59" s="96"/>
      <c r="E59" s="99">
        <v>0</v>
      </c>
      <c r="F59" s="99">
        <v>0</v>
      </c>
    </row>
    <row r="60" spans="1:6" ht="57">
      <c r="A60" s="95" t="s">
        <v>1139</v>
      </c>
      <c r="B60" s="195" t="s">
        <v>198</v>
      </c>
      <c r="C60" s="124" t="s">
        <v>409</v>
      </c>
      <c r="D60" s="96"/>
      <c r="E60" s="99">
        <v>0</v>
      </c>
      <c r="F60" s="99">
        <v>0</v>
      </c>
    </row>
    <row r="61" spans="1:6" ht="30">
      <c r="A61" s="95" t="s">
        <v>1140</v>
      </c>
      <c r="B61" s="195" t="s">
        <v>418</v>
      </c>
      <c r="C61" s="124" t="s">
        <v>410</v>
      </c>
      <c r="D61" s="96"/>
      <c r="E61" s="99">
        <v>0</v>
      </c>
      <c r="F61" s="99">
        <v>0</v>
      </c>
    </row>
    <row r="62" spans="1:6" ht="30">
      <c r="A62" s="95" t="s">
        <v>1141</v>
      </c>
      <c r="B62" s="195" t="s">
        <v>198</v>
      </c>
      <c r="C62" s="124" t="s">
        <v>411</v>
      </c>
      <c r="D62" s="96"/>
      <c r="E62" s="99">
        <v>0</v>
      </c>
      <c r="F62" s="99">
        <v>0</v>
      </c>
    </row>
    <row r="63" spans="1:26" s="33" customFormat="1" ht="28.5">
      <c r="A63" s="105" t="s">
        <v>1142</v>
      </c>
      <c r="B63" s="251" t="s">
        <v>1436</v>
      </c>
      <c r="C63" s="159" t="s">
        <v>412</v>
      </c>
      <c r="D63" s="158" t="s">
        <v>2042</v>
      </c>
      <c r="E63" s="161">
        <v>9610</v>
      </c>
      <c r="F63" s="161">
        <v>9678</v>
      </c>
      <c r="G63" s="162"/>
      <c r="H63" s="260"/>
      <c r="I63" s="162"/>
      <c r="J63" s="252"/>
      <c r="K63" s="162"/>
      <c r="L63" s="162"/>
      <c r="M63" s="162"/>
      <c r="N63" s="162"/>
      <c r="O63" s="162"/>
      <c r="P63" s="162"/>
      <c r="Q63" s="162"/>
      <c r="R63" s="162"/>
      <c r="S63" s="184"/>
      <c r="T63" s="184"/>
      <c r="U63" s="184"/>
      <c r="V63" s="184"/>
      <c r="W63" s="184"/>
      <c r="X63" s="184"/>
      <c r="Y63" s="162"/>
      <c r="Z63" s="162"/>
    </row>
    <row r="64" spans="1:6" ht="71.25">
      <c r="A64" s="95" t="s">
        <v>1143</v>
      </c>
      <c r="B64" s="195" t="s">
        <v>413</v>
      </c>
      <c r="C64" s="124" t="s">
        <v>414</v>
      </c>
      <c r="D64" s="96" t="s">
        <v>2043</v>
      </c>
      <c r="E64" s="99">
        <v>0</v>
      </c>
      <c r="F64" s="99">
        <v>0</v>
      </c>
    </row>
    <row r="65" spans="1:26" s="13" customFormat="1" ht="71.25">
      <c r="A65" s="115" t="s">
        <v>1144</v>
      </c>
      <c r="B65" s="194" t="s">
        <v>198</v>
      </c>
      <c r="C65" s="117" t="s">
        <v>415</v>
      </c>
      <c r="D65" s="116" t="s">
        <v>2044</v>
      </c>
      <c r="E65" s="119">
        <v>2510</v>
      </c>
      <c r="F65" s="119">
        <v>2528</v>
      </c>
      <c r="G65" s="141" t="s">
        <v>2595</v>
      </c>
      <c r="H65" s="182" t="s">
        <v>413</v>
      </c>
      <c r="I65" s="141" t="s">
        <v>413</v>
      </c>
      <c r="J65" s="141">
        <v>0</v>
      </c>
      <c r="K65" s="141" t="s">
        <v>413</v>
      </c>
      <c r="L65" s="141" t="s">
        <v>413</v>
      </c>
      <c r="M65" s="141" t="s">
        <v>413</v>
      </c>
      <c r="N65" s="141" t="s">
        <v>413</v>
      </c>
      <c r="O65" s="141" t="s">
        <v>413</v>
      </c>
      <c r="P65" s="141" t="s">
        <v>413</v>
      </c>
      <c r="Q65" s="141" t="s">
        <v>413</v>
      </c>
      <c r="R65" s="141" t="s">
        <v>413</v>
      </c>
      <c r="S65" s="143" t="s">
        <v>413</v>
      </c>
      <c r="T65" s="143">
        <v>0.01607</v>
      </c>
      <c r="U65" s="143" t="s">
        <v>413</v>
      </c>
      <c r="V65" s="143">
        <v>0.00142</v>
      </c>
      <c r="W65" s="143" t="s">
        <v>413</v>
      </c>
      <c r="X65" s="143">
        <v>0.00205</v>
      </c>
      <c r="Y65" s="141"/>
      <c r="Z65" s="141"/>
    </row>
    <row r="66" spans="1:6" ht="71.25">
      <c r="A66" s="95" t="s">
        <v>1145</v>
      </c>
      <c r="B66" s="195" t="s">
        <v>198</v>
      </c>
      <c r="C66" s="124" t="s">
        <v>415</v>
      </c>
      <c r="D66" s="96" t="s">
        <v>2044</v>
      </c>
      <c r="E66" s="99">
        <v>2510</v>
      </c>
      <c r="F66" s="99">
        <v>2528</v>
      </c>
    </row>
    <row r="67" spans="1:6" ht="57">
      <c r="A67" s="95" t="s">
        <v>1146</v>
      </c>
      <c r="B67" s="195" t="s">
        <v>198</v>
      </c>
      <c r="C67" s="124" t="s">
        <v>1562</v>
      </c>
      <c r="D67" s="96"/>
      <c r="E67" s="99">
        <v>640</v>
      </c>
      <c r="F67" s="99">
        <v>645</v>
      </c>
    </row>
    <row r="68" spans="1:6" ht="57">
      <c r="A68" s="95" t="s">
        <v>1147</v>
      </c>
      <c r="B68" s="195" t="s">
        <v>198</v>
      </c>
      <c r="C68" s="124" t="s">
        <v>1563</v>
      </c>
      <c r="D68" s="96"/>
      <c r="E68" s="99">
        <v>1640</v>
      </c>
      <c r="F68" s="99">
        <v>1652</v>
      </c>
    </row>
    <row r="69" spans="1:6" ht="42.75">
      <c r="A69" s="95" t="s">
        <v>1148</v>
      </c>
      <c r="B69" s="195" t="s">
        <v>198</v>
      </c>
      <c r="C69" s="124" t="s">
        <v>1564</v>
      </c>
      <c r="D69" s="96"/>
      <c r="E69" s="99">
        <v>230</v>
      </c>
      <c r="F69" s="99">
        <v>232</v>
      </c>
    </row>
    <row r="70" spans="1:26" s="13" customFormat="1" ht="71.25">
      <c r="A70" s="115" t="s">
        <v>1149</v>
      </c>
      <c r="B70" s="194" t="s">
        <v>198</v>
      </c>
      <c r="C70" s="117" t="s">
        <v>1565</v>
      </c>
      <c r="D70" s="116" t="s">
        <v>2045</v>
      </c>
      <c r="E70" s="119">
        <v>1580</v>
      </c>
      <c r="F70" s="119">
        <v>1591</v>
      </c>
      <c r="G70" s="141" t="s">
        <v>2595</v>
      </c>
      <c r="H70" s="182" t="s">
        <v>413</v>
      </c>
      <c r="I70" s="141" t="s">
        <v>413</v>
      </c>
      <c r="J70" s="141">
        <v>0</v>
      </c>
      <c r="K70" s="141" t="s">
        <v>413</v>
      </c>
      <c r="L70" s="141" t="s">
        <v>413</v>
      </c>
      <c r="M70" s="141" t="s">
        <v>413</v>
      </c>
      <c r="N70" s="141" t="s">
        <v>413</v>
      </c>
      <c r="O70" s="141" t="s">
        <v>413</v>
      </c>
      <c r="P70" s="141" t="s">
        <v>413</v>
      </c>
      <c r="Q70" s="141" t="s">
        <v>413</v>
      </c>
      <c r="R70" s="141" t="s">
        <v>413</v>
      </c>
      <c r="S70" s="143" t="s">
        <v>413</v>
      </c>
      <c r="T70" s="143">
        <v>0.01607</v>
      </c>
      <c r="U70" s="143" t="s">
        <v>413</v>
      </c>
      <c r="V70" s="143">
        <v>0.00142</v>
      </c>
      <c r="W70" s="143" t="s">
        <v>413</v>
      </c>
      <c r="X70" s="143">
        <v>0.00205</v>
      </c>
      <c r="Y70" s="141"/>
      <c r="Z70" s="141"/>
    </row>
    <row r="71" spans="1:6" ht="42.75">
      <c r="A71" s="95" t="s">
        <v>1150</v>
      </c>
      <c r="B71" s="195" t="s">
        <v>198</v>
      </c>
      <c r="C71" s="124" t="s">
        <v>1566</v>
      </c>
      <c r="D71" s="96"/>
      <c r="E71" s="99">
        <v>0</v>
      </c>
      <c r="F71" s="99">
        <v>0</v>
      </c>
    </row>
    <row r="72" spans="1:6" ht="30">
      <c r="A72" s="95" t="s">
        <v>1151</v>
      </c>
      <c r="B72" s="195" t="s">
        <v>198</v>
      </c>
      <c r="C72" s="124" t="s">
        <v>1567</v>
      </c>
      <c r="D72" s="96"/>
      <c r="E72" s="99">
        <v>0</v>
      </c>
      <c r="F72" s="99">
        <v>0</v>
      </c>
    </row>
    <row r="73" spans="1:6" ht="30">
      <c r="A73" s="95" t="s">
        <v>1152</v>
      </c>
      <c r="B73" s="195" t="s">
        <v>198</v>
      </c>
      <c r="C73" s="124" t="s">
        <v>1568</v>
      </c>
      <c r="D73" s="96"/>
      <c r="E73" s="99">
        <v>0</v>
      </c>
      <c r="F73" s="99">
        <v>0</v>
      </c>
    </row>
    <row r="74" spans="1:26" s="13" customFormat="1" ht="85.5">
      <c r="A74" s="115" t="s">
        <v>1153</v>
      </c>
      <c r="B74" s="194" t="s">
        <v>1436</v>
      </c>
      <c r="C74" s="117" t="s">
        <v>1569</v>
      </c>
      <c r="D74" s="116" t="s">
        <v>2046</v>
      </c>
      <c r="E74" s="119">
        <v>3940</v>
      </c>
      <c r="F74" s="119">
        <v>3968</v>
      </c>
      <c r="G74" s="141" t="s">
        <v>2595</v>
      </c>
      <c r="H74" s="182" t="s">
        <v>413</v>
      </c>
      <c r="I74" s="141" t="s">
        <v>413</v>
      </c>
      <c r="J74" s="141">
        <v>0</v>
      </c>
      <c r="K74" s="141" t="s">
        <v>413</v>
      </c>
      <c r="L74" s="141" t="s">
        <v>413</v>
      </c>
      <c r="M74" s="141" t="s">
        <v>413</v>
      </c>
      <c r="N74" s="141" t="s">
        <v>413</v>
      </c>
      <c r="O74" s="141" t="s">
        <v>413</v>
      </c>
      <c r="P74" s="141" t="s">
        <v>413</v>
      </c>
      <c r="Q74" s="141" t="s">
        <v>413</v>
      </c>
      <c r="R74" s="141" t="s">
        <v>413</v>
      </c>
      <c r="S74" s="143" t="s">
        <v>413</v>
      </c>
      <c r="T74" s="143">
        <v>0.01607</v>
      </c>
      <c r="U74" s="143" t="s">
        <v>413</v>
      </c>
      <c r="V74" s="143">
        <v>0.00142</v>
      </c>
      <c r="W74" s="143" t="s">
        <v>413</v>
      </c>
      <c r="X74" s="143">
        <v>0.00205</v>
      </c>
      <c r="Y74" s="141"/>
      <c r="Z74" s="141"/>
    </row>
    <row r="75" spans="1:6" ht="30">
      <c r="A75" s="95" t="s">
        <v>1154</v>
      </c>
      <c r="B75" s="195" t="s">
        <v>198</v>
      </c>
      <c r="C75" s="124" t="s">
        <v>1570</v>
      </c>
      <c r="D75" s="96" t="s">
        <v>2048</v>
      </c>
      <c r="E75" s="99">
        <v>3570</v>
      </c>
      <c r="F75" s="99">
        <v>3595</v>
      </c>
    </row>
    <row r="76" spans="1:6" ht="30">
      <c r="A76" s="95" t="s">
        <v>1155</v>
      </c>
      <c r="B76" s="195" t="s">
        <v>418</v>
      </c>
      <c r="C76" s="124" t="s">
        <v>1571</v>
      </c>
      <c r="D76" s="96"/>
      <c r="E76" s="99" t="s">
        <v>1689</v>
      </c>
      <c r="F76" s="99" t="s">
        <v>1689</v>
      </c>
    </row>
    <row r="77" spans="1:6" ht="57">
      <c r="A77" s="95" t="s">
        <v>1156</v>
      </c>
      <c r="B77" s="195" t="s">
        <v>418</v>
      </c>
      <c r="C77" s="124" t="s">
        <v>1572</v>
      </c>
      <c r="D77" s="96" t="s">
        <v>2047</v>
      </c>
      <c r="E77" s="99">
        <v>290</v>
      </c>
      <c r="F77" s="99">
        <v>292</v>
      </c>
    </row>
    <row r="78" spans="1:6" ht="42.75">
      <c r="A78" s="95" t="s">
        <v>1157</v>
      </c>
      <c r="B78" s="195" t="s">
        <v>418</v>
      </c>
      <c r="C78" s="124" t="s">
        <v>1573</v>
      </c>
      <c r="D78" s="96"/>
      <c r="E78" s="99">
        <v>0</v>
      </c>
      <c r="F78" s="99">
        <v>0</v>
      </c>
    </row>
    <row r="79" spans="1:6" ht="30">
      <c r="A79" s="95" t="s">
        <v>1158</v>
      </c>
      <c r="B79" s="195" t="s">
        <v>418</v>
      </c>
      <c r="C79" s="124" t="s">
        <v>1574</v>
      </c>
      <c r="D79" s="96"/>
      <c r="E79" s="99">
        <v>0</v>
      </c>
      <c r="F79" s="99">
        <v>0</v>
      </c>
    </row>
    <row r="80" spans="1:6" ht="42.75">
      <c r="A80" s="95" t="s">
        <v>1159</v>
      </c>
      <c r="B80" s="195" t="s">
        <v>418</v>
      </c>
      <c r="C80" s="124" t="s">
        <v>1575</v>
      </c>
      <c r="D80" s="96"/>
      <c r="E80" s="99">
        <v>0</v>
      </c>
      <c r="F80" s="99">
        <v>0</v>
      </c>
    </row>
    <row r="81" spans="1:6" ht="30">
      <c r="A81" s="95" t="s">
        <v>1160</v>
      </c>
      <c r="B81" s="195" t="s">
        <v>418</v>
      </c>
      <c r="C81" s="124" t="s">
        <v>1576</v>
      </c>
      <c r="D81" s="96"/>
      <c r="E81" s="99" t="s">
        <v>1689</v>
      </c>
      <c r="F81" s="99" t="s">
        <v>1689</v>
      </c>
    </row>
    <row r="82" spans="1:6" ht="42.75">
      <c r="A82" s="95" t="s">
        <v>1161</v>
      </c>
      <c r="B82" s="195" t="s">
        <v>418</v>
      </c>
      <c r="C82" s="124" t="s">
        <v>1577</v>
      </c>
      <c r="D82" s="96" t="s">
        <v>2049</v>
      </c>
      <c r="E82" s="99" t="s">
        <v>1689</v>
      </c>
      <c r="F82" s="99" t="s">
        <v>1689</v>
      </c>
    </row>
    <row r="83" spans="1:6" ht="30">
      <c r="A83" s="95" t="s">
        <v>1162</v>
      </c>
      <c r="B83" s="195" t="s">
        <v>418</v>
      </c>
      <c r="C83" s="124" t="s">
        <v>1578</v>
      </c>
      <c r="D83" s="96"/>
      <c r="E83" s="99" t="s">
        <v>1689</v>
      </c>
      <c r="F83" s="99" t="s">
        <v>1689</v>
      </c>
    </row>
    <row r="84" spans="1:26" s="13" customFormat="1" ht="42.75">
      <c r="A84" s="115" t="s">
        <v>1163</v>
      </c>
      <c r="B84" s="194" t="s">
        <v>418</v>
      </c>
      <c r="C84" s="117" t="s">
        <v>1579</v>
      </c>
      <c r="D84" s="116" t="s">
        <v>2609</v>
      </c>
      <c r="E84" s="119">
        <v>290</v>
      </c>
      <c r="F84" s="119">
        <v>292</v>
      </c>
      <c r="G84" s="141" t="s">
        <v>2595</v>
      </c>
      <c r="H84" s="182" t="s">
        <v>413</v>
      </c>
      <c r="I84" s="141" t="s">
        <v>413</v>
      </c>
      <c r="J84" s="141">
        <v>0</v>
      </c>
      <c r="K84" s="141" t="s">
        <v>413</v>
      </c>
      <c r="L84" s="141" t="s">
        <v>413</v>
      </c>
      <c r="M84" s="141" t="s">
        <v>413</v>
      </c>
      <c r="N84" s="141" t="s">
        <v>413</v>
      </c>
      <c r="O84" s="141" t="s">
        <v>413</v>
      </c>
      <c r="P84" s="141" t="s">
        <v>413</v>
      </c>
      <c r="Q84" s="141" t="s">
        <v>413</v>
      </c>
      <c r="R84" s="141" t="s">
        <v>413</v>
      </c>
      <c r="S84" s="143" t="s">
        <v>413</v>
      </c>
      <c r="T84" s="143">
        <v>0.01607</v>
      </c>
      <c r="U84" s="143" t="s">
        <v>413</v>
      </c>
      <c r="V84" s="143">
        <v>0.00142</v>
      </c>
      <c r="W84" s="143" t="s">
        <v>413</v>
      </c>
      <c r="X84" s="143">
        <v>0.00205</v>
      </c>
      <c r="Y84" s="141"/>
      <c r="Z84" s="141"/>
    </row>
    <row r="85" spans="1:6" ht="30">
      <c r="A85" s="95" t="s">
        <v>1164</v>
      </c>
      <c r="B85" s="195" t="s">
        <v>418</v>
      </c>
      <c r="C85" s="124" t="s">
        <v>1580</v>
      </c>
      <c r="D85" s="96"/>
      <c r="E85" s="99" t="s">
        <v>1689</v>
      </c>
      <c r="F85" s="99" t="s">
        <v>1689</v>
      </c>
    </row>
    <row r="86" spans="1:6" ht="30">
      <c r="A86" s="95" t="s">
        <v>1165</v>
      </c>
      <c r="B86" s="195" t="s">
        <v>418</v>
      </c>
      <c r="C86" s="124" t="s">
        <v>1581</v>
      </c>
      <c r="D86" s="96"/>
      <c r="E86" s="99">
        <v>0</v>
      </c>
      <c r="F86" s="99">
        <v>0</v>
      </c>
    </row>
    <row r="87" spans="1:6" ht="42.75">
      <c r="A87" s="95" t="s">
        <v>1166</v>
      </c>
      <c r="B87" s="195" t="s">
        <v>418</v>
      </c>
      <c r="C87" s="124" t="s">
        <v>1582</v>
      </c>
      <c r="D87" s="96"/>
      <c r="E87" s="99" t="s">
        <v>1689</v>
      </c>
      <c r="F87" s="99" t="s">
        <v>1689</v>
      </c>
    </row>
    <row r="88" spans="1:6" ht="30">
      <c r="A88" s="95" t="s">
        <v>1167</v>
      </c>
      <c r="B88" s="195" t="s">
        <v>418</v>
      </c>
      <c r="C88" s="124" t="s">
        <v>1583</v>
      </c>
      <c r="D88" s="96"/>
      <c r="E88" s="99">
        <v>0</v>
      </c>
      <c r="F88" s="99">
        <v>0</v>
      </c>
    </row>
    <row r="89" spans="1:6" ht="28.5">
      <c r="A89" s="95">
        <v>1255107</v>
      </c>
      <c r="B89" s="195" t="s">
        <v>418</v>
      </c>
      <c r="C89" s="124" t="s">
        <v>1661</v>
      </c>
      <c r="D89" s="96"/>
      <c r="E89" s="99">
        <v>0</v>
      </c>
      <c r="F89" s="99">
        <v>0</v>
      </c>
    </row>
    <row r="90" spans="1:26" s="33" customFormat="1" ht="85.5">
      <c r="A90" s="105" t="s">
        <v>1168</v>
      </c>
      <c r="B90" s="251" t="s">
        <v>418</v>
      </c>
      <c r="C90" s="159" t="s">
        <v>1584</v>
      </c>
      <c r="D90" s="158" t="s">
        <v>2050</v>
      </c>
      <c r="E90" s="161">
        <v>490</v>
      </c>
      <c r="F90" s="161">
        <v>493</v>
      </c>
      <c r="G90" s="162"/>
      <c r="H90" s="260"/>
      <c r="I90" s="162"/>
      <c r="J90" s="252"/>
      <c r="K90" s="162"/>
      <c r="L90" s="162"/>
      <c r="M90" s="162"/>
      <c r="N90" s="162"/>
      <c r="O90" s="162"/>
      <c r="P90" s="162"/>
      <c r="Q90" s="162"/>
      <c r="R90" s="162"/>
      <c r="S90" s="184"/>
      <c r="T90" s="184"/>
      <c r="U90" s="184"/>
      <c r="V90" s="184"/>
      <c r="W90" s="184"/>
      <c r="X90" s="184"/>
      <c r="Y90" s="162"/>
      <c r="Z90" s="162"/>
    </row>
    <row r="91" spans="1:6" ht="114">
      <c r="A91" s="95" t="s">
        <v>1169</v>
      </c>
      <c r="B91" s="195" t="s">
        <v>1585</v>
      </c>
      <c r="C91" s="124" t="s">
        <v>1586</v>
      </c>
      <c r="D91" s="96"/>
      <c r="E91" s="99">
        <v>0</v>
      </c>
      <c r="F91" s="99">
        <v>0</v>
      </c>
    </row>
    <row r="92" spans="1:26" s="13" customFormat="1" ht="85.5">
      <c r="A92" s="115" t="s">
        <v>1170</v>
      </c>
      <c r="B92" s="194" t="s">
        <v>418</v>
      </c>
      <c r="C92" s="117" t="s">
        <v>1584</v>
      </c>
      <c r="D92" s="116" t="s">
        <v>2051</v>
      </c>
      <c r="E92" s="119">
        <v>490</v>
      </c>
      <c r="F92" s="119">
        <v>493</v>
      </c>
      <c r="G92" s="141" t="s">
        <v>2595</v>
      </c>
      <c r="H92" s="182" t="s">
        <v>413</v>
      </c>
      <c r="I92" s="141" t="s">
        <v>413</v>
      </c>
      <c r="J92" s="141">
        <v>25</v>
      </c>
      <c r="K92" s="141" t="s">
        <v>413</v>
      </c>
      <c r="L92" s="141" t="s">
        <v>413</v>
      </c>
      <c r="M92" s="141" t="s">
        <v>413</v>
      </c>
      <c r="N92" s="141" t="s">
        <v>413</v>
      </c>
      <c r="O92" s="141" t="s">
        <v>413</v>
      </c>
      <c r="P92" s="141" t="s">
        <v>413</v>
      </c>
      <c r="Q92" s="141" t="s">
        <v>413</v>
      </c>
      <c r="R92" s="141" t="s">
        <v>413</v>
      </c>
      <c r="S92" s="143" t="s">
        <v>413</v>
      </c>
      <c r="T92" s="143">
        <v>0.00919</v>
      </c>
      <c r="U92" s="143" t="s">
        <v>413</v>
      </c>
      <c r="V92" s="143">
        <v>0.00088</v>
      </c>
      <c r="W92" s="143" t="s">
        <v>413</v>
      </c>
      <c r="X92" s="143">
        <v>0.00159</v>
      </c>
      <c r="Y92" s="141"/>
      <c r="Z92" s="141"/>
    </row>
    <row r="93" spans="1:6" ht="30">
      <c r="A93" s="95" t="s">
        <v>1171</v>
      </c>
      <c r="B93" s="195" t="s">
        <v>418</v>
      </c>
      <c r="C93" s="124" t="s">
        <v>1587</v>
      </c>
      <c r="D93" s="96"/>
      <c r="E93" s="99" t="s">
        <v>1689</v>
      </c>
      <c r="F93" s="99" t="s">
        <v>1689</v>
      </c>
    </row>
    <row r="94" spans="1:6" ht="30">
      <c r="A94" s="95" t="s">
        <v>1172</v>
      </c>
      <c r="B94" s="195" t="s">
        <v>418</v>
      </c>
      <c r="C94" s="124" t="s">
        <v>1588</v>
      </c>
      <c r="D94" s="96"/>
      <c r="E94" s="99" t="s">
        <v>1689</v>
      </c>
      <c r="F94" s="99" t="s">
        <v>1689</v>
      </c>
    </row>
    <row r="95" spans="1:6" ht="42.75">
      <c r="A95" s="95" t="s">
        <v>1173</v>
      </c>
      <c r="B95" s="195" t="s">
        <v>418</v>
      </c>
      <c r="C95" s="124" t="s">
        <v>1589</v>
      </c>
      <c r="D95" s="96"/>
      <c r="E95" s="99" t="s">
        <v>1689</v>
      </c>
      <c r="F95" s="99" t="s">
        <v>1689</v>
      </c>
    </row>
    <row r="96" spans="1:6" ht="29.25">
      <c r="A96" s="95" t="s">
        <v>1174</v>
      </c>
      <c r="B96" s="195" t="s">
        <v>418</v>
      </c>
      <c r="C96" s="124" t="s">
        <v>1590</v>
      </c>
      <c r="D96" s="96"/>
      <c r="E96" s="99">
        <v>0</v>
      </c>
      <c r="F96" s="99">
        <v>0</v>
      </c>
    </row>
    <row r="97" spans="1:26" s="33" customFormat="1" ht="57.75">
      <c r="A97" s="105" t="s">
        <v>1175</v>
      </c>
      <c r="B97" s="251" t="s">
        <v>418</v>
      </c>
      <c r="C97" s="159" t="s">
        <v>1591</v>
      </c>
      <c r="D97" s="158" t="s">
        <v>2052</v>
      </c>
      <c r="E97" s="161" t="s">
        <v>1689</v>
      </c>
      <c r="F97" s="161" t="s">
        <v>1689</v>
      </c>
      <c r="G97" s="162"/>
      <c r="H97" s="260"/>
      <c r="I97" s="162"/>
      <c r="J97" s="252"/>
      <c r="K97" s="162"/>
      <c r="L97" s="162"/>
      <c r="M97" s="162"/>
      <c r="N97" s="162"/>
      <c r="O97" s="162"/>
      <c r="P97" s="162"/>
      <c r="Q97" s="162"/>
      <c r="R97" s="162"/>
      <c r="S97" s="184"/>
      <c r="T97" s="184"/>
      <c r="U97" s="184"/>
      <c r="V97" s="184"/>
      <c r="W97" s="184"/>
      <c r="X97" s="184"/>
      <c r="Y97" s="162"/>
      <c r="Z97" s="162"/>
    </row>
    <row r="98" spans="1:6" ht="29.25">
      <c r="A98" s="95" t="s">
        <v>1176</v>
      </c>
      <c r="B98" s="195" t="s">
        <v>418</v>
      </c>
      <c r="C98" s="124" t="s">
        <v>1592</v>
      </c>
      <c r="D98" s="96"/>
      <c r="E98" s="99" t="s">
        <v>1689</v>
      </c>
      <c r="F98" s="99" t="s">
        <v>1689</v>
      </c>
    </row>
    <row r="99" spans="1:6" ht="29.25">
      <c r="A99" s="95" t="s">
        <v>1177</v>
      </c>
      <c r="B99" s="195" t="s">
        <v>418</v>
      </c>
      <c r="C99" s="124" t="s">
        <v>1593</v>
      </c>
      <c r="D99" s="96"/>
      <c r="E99" s="99" t="s">
        <v>1689</v>
      </c>
      <c r="F99" s="99" t="s">
        <v>1689</v>
      </c>
    </row>
    <row r="100" spans="1:6" ht="15">
      <c r="A100" s="95" t="s">
        <v>1178</v>
      </c>
      <c r="B100" s="195" t="s">
        <v>418</v>
      </c>
      <c r="C100" s="124" t="s">
        <v>1594</v>
      </c>
      <c r="D100" s="96"/>
      <c r="E100" s="99">
        <v>0</v>
      </c>
      <c r="F100" s="99">
        <v>0</v>
      </c>
    </row>
    <row r="101" spans="1:6" ht="29.25">
      <c r="A101" s="95" t="s">
        <v>1179</v>
      </c>
      <c r="B101" s="195" t="s">
        <v>418</v>
      </c>
      <c r="C101" s="124" t="s">
        <v>1595</v>
      </c>
      <c r="D101" s="96"/>
      <c r="E101" s="99" t="s">
        <v>1689</v>
      </c>
      <c r="F101" s="99" t="s">
        <v>1689</v>
      </c>
    </row>
    <row r="102" spans="1:6" ht="29.25">
      <c r="A102" s="95" t="s">
        <v>1180</v>
      </c>
      <c r="B102" s="195" t="s">
        <v>418</v>
      </c>
      <c r="C102" s="124" t="s">
        <v>1596</v>
      </c>
      <c r="D102" s="96"/>
      <c r="E102" s="99" t="s">
        <v>1689</v>
      </c>
      <c r="F102" s="99" t="s">
        <v>1689</v>
      </c>
    </row>
    <row r="103" spans="1:6" ht="29.25">
      <c r="A103" s="95" t="s">
        <v>1181</v>
      </c>
      <c r="B103" s="195" t="s">
        <v>418</v>
      </c>
      <c r="C103" s="124" t="s">
        <v>1597</v>
      </c>
      <c r="D103" s="96"/>
      <c r="E103" s="99" t="s">
        <v>1689</v>
      </c>
      <c r="F103" s="99" t="s">
        <v>1689</v>
      </c>
    </row>
    <row r="104" spans="1:6" ht="29.25">
      <c r="A104" s="95" t="s">
        <v>1182</v>
      </c>
      <c r="B104" s="195" t="s">
        <v>418</v>
      </c>
      <c r="C104" s="124" t="s">
        <v>1598</v>
      </c>
      <c r="D104" s="96"/>
      <c r="E104" s="99">
        <v>0</v>
      </c>
      <c r="F104" s="99">
        <v>0</v>
      </c>
    </row>
    <row r="105" spans="1:6" ht="29.25">
      <c r="A105" s="95" t="s">
        <v>1183</v>
      </c>
      <c r="B105" s="195" t="s">
        <v>418</v>
      </c>
      <c r="C105" s="124" t="s">
        <v>1599</v>
      </c>
      <c r="D105" s="96"/>
      <c r="E105" s="99" t="s">
        <v>1689</v>
      </c>
      <c r="F105" s="99" t="s">
        <v>1689</v>
      </c>
    </row>
    <row r="106" spans="1:6" ht="43.5">
      <c r="A106" s="95">
        <v>1271109</v>
      </c>
      <c r="B106" s="195" t="s">
        <v>418</v>
      </c>
      <c r="C106" s="124" t="s">
        <v>1600</v>
      </c>
      <c r="D106" s="96"/>
      <c r="E106" s="99">
        <v>0</v>
      </c>
      <c r="F106" s="99">
        <v>0</v>
      </c>
    </row>
    <row r="107" spans="1:6" ht="29.25">
      <c r="A107" s="95" t="s">
        <v>1184</v>
      </c>
      <c r="B107" s="195" t="s">
        <v>418</v>
      </c>
      <c r="C107" s="124" t="s">
        <v>1601</v>
      </c>
      <c r="D107" s="96"/>
      <c r="E107" s="99" t="s">
        <v>1689</v>
      </c>
      <c r="F107" s="99" t="s">
        <v>1689</v>
      </c>
    </row>
    <row r="108" spans="1:6" ht="15">
      <c r="A108" s="95" t="s">
        <v>1185</v>
      </c>
      <c r="B108" s="195" t="s">
        <v>418</v>
      </c>
      <c r="C108" s="124" t="s">
        <v>1602</v>
      </c>
      <c r="D108" s="96"/>
      <c r="E108" s="99" t="s">
        <v>1689</v>
      </c>
      <c r="F108" s="99" t="s">
        <v>1689</v>
      </c>
    </row>
    <row r="109" spans="1:6" ht="86.25">
      <c r="A109" s="95" t="s">
        <v>1186</v>
      </c>
      <c r="B109" s="195" t="s">
        <v>418</v>
      </c>
      <c r="C109" s="124" t="s">
        <v>1603</v>
      </c>
      <c r="D109" s="96"/>
      <c r="E109" s="99" t="s">
        <v>1689</v>
      </c>
      <c r="F109" s="99" t="s">
        <v>1689</v>
      </c>
    </row>
    <row r="110" spans="1:6" ht="15">
      <c r="A110" s="95" t="s">
        <v>1187</v>
      </c>
      <c r="B110" s="195" t="s">
        <v>418</v>
      </c>
      <c r="C110" s="124" t="s">
        <v>1604</v>
      </c>
      <c r="D110" s="96"/>
      <c r="E110" s="99" t="s">
        <v>1689</v>
      </c>
      <c r="F110" s="99" t="s">
        <v>1689</v>
      </c>
    </row>
    <row r="111" spans="1:6" ht="57.75">
      <c r="A111" s="95" t="s">
        <v>1188</v>
      </c>
      <c r="B111" s="195" t="s">
        <v>418</v>
      </c>
      <c r="C111" s="124" t="s">
        <v>1605</v>
      </c>
      <c r="D111" s="96"/>
      <c r="E111" s="99" t="s">
        <v>1689</v>
      </c>
      <c r="F111" s="99" t="s">
        <v>1689</v>
      </c>
    </row>
    <row r="112" spans="1:6" ht="29.25">
      <c r="A112" s="95">
        <v>1211106</v>
      </c>
      <c r="B112" s="195" t="s">
        <v>418</v>
      </c>
      <c r="C112" s="124" t="s">
        <v>1645</v>
      </c>
      <c r="D112" s="96"/>
      <c r="E112" s="99" t="s">
        <v>1689</v>
      </c>
      <c r="F112" s="99" t="s">
        <v>1689</v>
      </c>
    </row>
    <row r="113" spans="1:6" ht="15">
      <c r="A113" s="95">
        <v>1211107</v>
      </c>
      <c r="B113" s="195" t="s">
        <v>418</v>
      </c>
      <c r="C113" s="124" t="s">
        <v>1646</v>
      </c>
      <c r="D113" s="96"/>
      <c r="E113" s="99">
        <v>0</v>
      </c>
      <c r="F113" s="99">
        <v>0</v>
      </c>
    </row>
    <row r="114" spans="1:26" s="50" customFormat="1" ht="86.25">
      <c r="A114" s="176" t="s">
        <v>1189</v>
      </c>
      <c r="B114" s="212" t="s">
        <v>1606</v>
      </c>
      <c r="C114" s="178" t="s">
        <v>1323</v>
      </c>
      <c r="D114" s="177" t="s">
        <v>2053</v>
      </c>
      <c r="E114" s="180">
        <v>4310</v>
      </c>
      <c r="F114" s="180">
        <v>4341</v>
      </c>
      <c r="G114" s="181"/>
      <c r="H114" s="224"/>
      <c r="I114" s="181"/>
      <c r="J114" s="257"/>
      <c r="K114" s="181"/>
      <c r="L114" s="181"/>
      <c r="M114" s="181"/>
      <c r="N114" s="181"/>
      <c r="O114" s="181"/>
      <c r="P114" s="181"/>
      <c r="Q114" s="181"/>
      <c r="R114" s="181"/>
      <c r="S114" s="187"/>
      <c r="T114" s="187"/>
      <c r="U114" s="187"/>
      <c r="V114" s="187"/>
      <c r="W114" s="187"/>
      <c r="X114" s="187"/>
      <c r="Y114" s="181"/>
      <c r="Z114" s="181"/>
    </row>
    <row r="115" spans="1:26" s="13" customFormat="1" ht="57.75">
      <c r="A115" s="115">
        <v>211</v>
      </c>
      <c r="B115" s="194" t="s">
        <v>204</v>
      </c>
      <c r="C115" s="117" t="s">
        <v>1657</v>
      </c>
      <c r="D115" s="116" t="s">
        <v>2054</v>
      </c>
      <c r="E115" s="119">
        <v>3620</v>
      </c>
      <c r="F115" s="119">
        <v>3646</v>
      </c>
      <c r="G115" s="141" t="s">
        <v>2595</v>
      </c>
      <c r="H115" s="182" t="s">
        <v>413</v>
      </c>
      <c r="I115" s="141" t="s">
        <v>413</v>
      </c>
      <c r="J115" s="141">
        <v>0</v>
      </c>
      <c r="K115" s="141" t="s">
        <v>413</v>
      </c>
      <c r="L115" s="141" t="s">
        <v>413</v>
      </c>
      <c r="M115" s="141" t="s">
        <v>413</v>
      </c>
      <c r="N115" s="141" t="s">
        <v>413</v>
      </c>
      <c r="O115" s="141" t="s">
        <v>413</v>
      </c>
      <c r="P115" s="141" t="s">
        <v>413</v>
      </c>
      <c r="Q115" s="141" t="s">
        <v>413</v>
      </c>
      <c r="R115" s="141" t="s">
        <v>413</v>
      </c>
      <c r="S115" s="143" t="s">
        <v>413</v>
      </c>
      <c r="T115" s="143">
        <v>0.0161</v>
      </c>
      <c r="U115" s="143" t="s">
        <v>413</v>
      </c>
      <c r="V115" s="143">
        <v>0.00145</v>
      </c>
      <c r="W115" s="143" t="s">
        <v>413</v>
      </c>
      <c r="X115" s="143">
        <v>0.00313</v>
      </c>
      <c r="Y115" s="141"/>
      <c r="Z115" s="141"/>
    </row>
    <row r="116" spans="1:26" s="13" customFormat="1" ht="57.75">
      <c r="A116" s="115" t="s">
        <v>1190</v>
      </c>
      <c r="B116" s="194" t="s">
        <v>418</v>
      </c>
      <c r="C116" s="117" t="s">
        <v>1607</v>
      </c>
      <c r="D116" s="116" t="s">
        <v>2055</v>
      </c>
      <c r="E116" s="119">
        <v>690</v>
      </c>
      <c r="F116" s="119">
        <v>695</v>
      </c>
      <c r="G116" s="141" t="s">
        <v>2595</v>
      </c>
      <c r="H116" s="182" t="s">
        <v>413</v>
      </c>
      <c r="I116" s="141" t="s">
        <v>413</v>
      </c>
      <c r="J116" s="258">
        <v>0</v>
      </c>
      <c r="K116" s="141" t="s">
        <v>413</v>
      </c>
      <c r="L116" s="141" t="s">
        <v>413</v>
      </c>
      <c r="M116" s="141" t="s">
        <v>413</v>
      </c>
      <c r="N116" s="141" t="s">
        <v>413</v>
      </c>
      <c r="O116" s="141" t="s">
        <v>413</v>
      </c>
      <c r="P116" s="141" t="s">
        <v>413</v>
      </c>
      <c r="Q116" s="141" t="s">
        <v>413</v>
      </c>
      <c r="R116" s="141" t="s">
        <v>413</v>
      </c>
      <c r="S116" s="143" t="s">
        <v>413</v>
      </c>
      <c r="T116" s="143">
        <v>0.01189</v>
      </c>
      <c r="U116" s="143" t="s">
        <v>413</v>
      </c>
      <c r="V116" s="143">
        <v>0.00141</v>
      </c>
      <c r="W116" s="143" t="s">
        <v>413</v>
      </c>
      <c r="X116" s="143">
        <v>0.0025</v>
      </c>
      <c r="Y116" s="141"/>
      <c r="Z116" s="141"/>
    </row>
    <row r="117" spans="1:6" ht="43.5">
      <c r="A117" s="95" t="s">
        <v>1191</v>
      </c>
      <c r="B117" s="195" t="s">
        <v>418</v>
      </c>
      <c r="C117" s="124" t="s">
        <v>1608</v>
      </c>
      <c r="D117" s="96"/>
      <c r="E117" s="99">
        <v>0</v>
      </c>
      <c r="F117" s="99">
        <v>0</v>
      </c>
    </row>
    <row r="118" spans="1:26" s="50" customFormat="1" ht="29.25">
      <c r="A118" s="176" t="s">
        <v>1192</v>
      </c>
      <c r="B118" s="212" t="s">
        <v>1436</v>
      </c>
      <c r="C118" s="178" t="s">
        <v>1609</v>
      </c>
      <c r="D118" s="177" t="s">
        <v>2056</v>
      </c>
      <c r="E118" s="180">
        <v>20370</v>
      </c>
      <c r="F118" s="180">
        <v>20515</v>
      </c>
      <c r="G118" s="181"/>
      <c r="H118" s="224"/>
      <c r="I118" s="181"/>
      <c r="J118" s="257"/>
      <c r="K118" s="181"/>
      <c r="L118" s="181"/>
      <c r="M118" s="181"/>
      <c r="N118" s="181"/>
      <c r="O118" s="181"/>
      <c r="P118" s="181"/>
      <c r="Q118" s="181"/>
      <c r="R118" s="181"/>
      <c r="S118" s="187"/>
      <c r="T118" s="187"/>
      <c r="U118" s="187"/>
      <c r="V118" s="187"/>
      <c r="W118" s="187"/>
      <c r="X118" s="187"/>
      <c r="Y118" s="181"/>
      <c r="Z118" s="181"/>
    </row>
    <row r="119" spans="1:26" s="13" customFormat="1" ht="43.5">
      <c r="A119" s="115" t="s">
        <v>1193</v>
      </c>
      <c r="B119" s="194" t="s">
        <v>198</v>
      </c>
      <c r="C119" s="117" t="s">
        <v>1610</v>
      </c>
      <c r="D119" s="116" t="s">
        <v>2057</v>
      </c>
      <c r="E119" s="119">
        <v>17490</v>
      </c>
      <c r="F119" s="119">
        <v>17614</v>
      </c>
      <c r="G119" s="141" t="s">
        <v>2595</v>
      </c>
      <c r="H119" s="182" t="s">
        <v>413</v>
      </c>
      <c r="I119" s="141" t="s">
        <v>413</v>
      </c>
      <c r="J119" s="258">
        <v>0</v>
      </c>
      <c r="K119" s="141" t="s">
        <v>413</v>
      </c>
      <c r="L119" s="141" t="s">
        <v>413</v>
      </c>
      <c r="M119" s="141" t="s">
        <v>413</v>
      </c>
      <c r="N119" s="141" t="s">
        <v>413</v>
      </c>
      <c r="O119" s="141" t="s">
        <v>413</v>
      </c>
      <c r="P119" s="141" t="s">
        <v>413</v>
      </c>
      <c r="Q119" s="141" t="s">
        <v>413</v>
      </c>
      <c r="R119" s="141" t="s">
        <v>413</v>
      </c>
      <c r="S119" s="143" t="s">
        <v>413</v>
      </c>
      <c r="T119" s="143">
        <v>0.01149</v>
      </c>
      <c r="U119" s="143" t="s">
        <v>413</v>
      </c>
      <c r="V119" s="143">
        <v>0.00109</v>
      </c>
      <c r="W119" s="143" t="s">
        <v>413</v>
      </c>
      <c r="X119" s="143">
        <v>0.00199</v>
      </c>
      <c r="Y119" s="141"/>
      <c r="Z119" s="141"/>
    </row>
    <row r="120" spans="1:6" ht="43.5">
      <c r="A120" s="95" t="s">
        <v>1194</v>
      </c>
      <c r="B120" s="195" t="s">
        <v>418</v>
      </c>
      <c r="C120" s="124" t="s">
        <v>1611</v>
      </c>
      <c r="D120" s="96" t="s">
        <v>2058</v>
      </c>
      <c r="E120" s="99">
        <v>230</v>
      </c>
      <c r="F120" s="99">
        <v>232</v>
      </c>
    </row>
    <row r="121" spans="1:6" ht="29.25">
      <c r="A121" s="95" t="s">
        <v>1195</v>
      </c>
      <c r="B121" s="195" t="s">
        <v>418</v>
      </c>
      <c r="C121" s="124" t="s">
        <v>1612</v>
      </c>
      <c r="D121" s="96"/>
      <c r="E121" s="99" t="s">
        <v>1689</v>
      </c>
      <c r="F121" s="99" t="s">
        <v>1689</v>
      </c>
    </row>
    <row r="122" spans="1:6" ht="29.25">
      <c r="A122" s="95" t="s">
        <v>1196</v>
      </c>
      <c r="B122" s="195" t="s">
        <v>418</v>
      </c>
      <c r="C122" s="124" t="s">
        <v>1613</v>
      </c>
      <c r="D122" s="96"/>
      <c r="E122" s="99" t="s">
        <v>1689</v>
      </c>
      <c r="F122" s="99" t="s">
        <v>1689</v>
      </c>
    </row>
    <row r="123" spans="1:26" s="13" customFormat="1" ht="29.25">
      <c r="A123" s="115" t="s">
        <v>1197</v>
      </c>
      <c r="B123" s="194" t="s">
        <v>418</v>
      </c>
      <c r="C123" s="117" t="s">
        <v>1614</v>
      </c>
      <c r="D123" s="116" t="s">
        <v>2605</v>
      </c>
      <c r="E123" s="119">
        <v>1260</v>
      </c>
      <c r="F123" s="119">
        <v>1269</v>
      </c>
      <c r="G123" s="141" t="s">
        <v>2595</v>
      </c>
      <c r="H123" s="182" t="s">
        <v>413</v>
      </c>
      <c r="I123" s="141" t="s">
        <v>413</v>
      </c>
      <c r="J123" s="258">
        <v>0</v>
      </c>
      <c r="K123" s="141" t="s">
        <v>413</v>
      </c>
      <c r="L123" s="141" t="s">
        <v>413</v>
      </c>
      <c r="M123" s="141" t="s">
        <v>413</v>
      </c>
      <c r="N123" s="141" t="s">
        <v>413</v>
      </c>
      <c r="O123" s="141" t="s">
        <v>413</v>
      </c>
      <c r="P123" s="141" t="s">
        <v>413</v>
      </c>
      <c r="Q123" s="141" t="s">
        <v>413</v>
      </c>
      <c r="R123" s="141" t="s">
        <v>413</v>
      </c>
      <c r="S123" s="143" t="s">
        <v>413</v>
      </c>
      <c r="T123" s="143">
        <v>0.01149</v>
      </c>
      <c r="U123" s="143" t="s">
        <v>413</v>
      </c>
      <c r="V123" s="143">
        <v>0.00109</v>
      </c>
      <c r="W123" s="143" t="s">
        <v>413</v>
      </c>
      <c r="X123" s="143">
        <v>0.00199</v>
      </c>
      <c r="Y123" s="141"/>
      <c r="Z123" s="141"/>
    </row>
    <row r="124" spans="1:6" ht="29.25">
      <c r="A124" s="95" t="s">
        <v>1198</v>
      </c>
      <c r="B124" s="195" t="s">
        <v>418</v>
      </c>
      <c r="C124" s="124" t="s">
        <v>1615</v>
      </c>
      <c r="D124" s="96"/>
      <c r="E124" s="99" t="s">
        <v>1689</v>
      </c>
      <c r="F124" s="99" t="s">
        <v>1689</v>
      </c>
    </row>
    <row r="125" spans="1:26" s="13" customFormat="1" ht="43.5">
      <c r="A125" s="115" t="s">
        <v>1199</v>
      </c>
      <c r="B125" s="194" t="s">
        <v>198</v>
      </c>
      <c r="C125" s="117" t="s">
        <v>1616</v>
      </c>
      <c r="D125" s="116" t="s">
        <v>2064</v>
      </c>
      <c r="E125" s="119">
        <v>650</v>
      </c>
      <c r="F125" s="119">
        <v>655</v>
      </c>
      <c r="G125" s="141" t="s">
        <v>2595</v>
      </c>
      <c r="H125" s="182" t="s">
        <v>413</v>
      </c>
      <c r="I125" s="141" t="s">
        <v>413</v>
      </c>
      <c r="J125" s="258">
        <v>0</v>
      </c>
      <c r="K125" s="141" t="s">
        <v>413</v>
      </c>
      <c r="L125" s="141" t="s">
        <v>413</v>
      </c>
      <c r="M125" s="141" t="s">
        <v>413</v>
      </c>
      <c r="N125" s="141" t="s">
        <v>413</v>
      </c>
      <c r="O125" s="141" t="s">
        <v>413</v>
      </c>
      <c r="P125" s="141" t="s">
        <v>413</v>
      </c>
      <c r="Q125" s="141" t="s">
        <v>413</v>
      </c>
      <c r="R125" s="141" t="s">
        <v>413</v>
      </c>
      <c r="S125" s="143" t="s">
        <v>413</v>
      </c>
      <c r="T125" s="143">
        <v>0.01149</v>
      </c>
      <c r="U125" s="143" t="s">
        <v>413</v>
      </c>
      <c r="V125" s="143">
        <v>0.00109</v>
      </c>
      <c r="W125" s="143" t="s">
        <v>413</v>
      </c>
      <c r="X125" s="143">
        <v>0.00199</v>
      </c>
      <c r="Y125" s="141"/>
      <c r="Z125" s="141"/>
    </row>
    <row r="126" spans="1:26" s="50" customFormat="1" ht="29.25">
      <c r="A126" s="176" t="s">
        <v>1200</v>
      </c>
      <c r="B126" s="212" t="s">
        <v>1436</v>
      </c>
      <c r="C126" s="178" t="s">
        <v>1617</v>
      </c>
      <c r="D126" s="177" t="s">
        <v>2059</v>
      </c>
      <c r="E126" s="180">
        <v>1750</v>
      </c>
      <c r="F126" s="180">
        <v>1762</v>
      </c>
      <c r="G126" s="181"/>
      <c r="H126" s="224"/>
      <c r="I126" s="181"/>
      <c r="J126" s="257"/>
      <c r="K126" s="181"/>
      <c r="L126" s="181"/>
      <c r="M126" s="181"/>
      <c r="N126" s="181"/>
      <c r="O126" s="181"/>
      <c r="P126" s="181"/>
      <c r="Q126" s="181"/>
      <c r="R126" s="181"/>
      <c r="S126" s="187"/>
      <c r="T126" s="187"/>
      <c r="U126" s="187"/>
      <c r="V126" s="187"/>
      <c r="W126" s="187"/>
      <c r="X126" s="187"/>
      <c r="Y126" s="181"/>
      <c r="Z126" s="181"/>
    </row>
    <row r="127" spans="1:26" s="13" customFormat="1" ht="29.25">
      <c r="A127" s="115" t="s">
        <v>1201</v>
      </c>
      <c r="B127" s="194" t="s">
        <v>198</v>
      </c>
      <c r="C127" s="117" t="s">
        <v>1618</v>
      </c>
      <c r="D127" s="116" t="s">
        <v>2606</v>
      </c>
      <c r="E127" s="119">
        <v>1690</v>
      </c>
      <c r="F127" s="119">
        <v>1702</v>
      </c>
      <c r="G127" s="141" t="s">
        <v>2595</v>
      </c>
      <c r="H127" s="182" t="s">
        <v>413</v>
      </c>
      <c r="I127" s="141" t="s">
        <v>413</v>
      </c>
      <c r="J127" s="258">
        <v>0</v>
      </c>
      <c r="K127" s="141" t="s">
        <v>413</v>
      </c>
      <c r="L127" s="141" t="s">
        <v>413</v>
      </c>
      <c r="M127" s="141" t="s">
        <v>413</v>
      </c>
      <c r="N127" s="141" t="s">
        <v>413</v>
      </c>
      <c r="O127" s="141" t="s">
        <v>413</v>
      </c>
      <c r="P127" s="141" t="s">
        <v>413</v>
      </c>
      <c r="Q127" s="141" t="s">
        <v>413</v>
      </c>
      <c r="R127" s="141" t="s">
        <v>413</v>
      </c>
      <c r="S127" s="143" t="s">
        <v>413</v>
      </c>
      <c r="T127" s="143">
        <v>0.01979</v>
      </c>
      <c r="U127" s="143" t="s">
        <v>413</v>
      </c>
      <c r="V127" s="143">
        <v>0.00195</v>
      </c>
      <c r="W127" s="143" t="s">
        <v>413</v>
      </c>
      <c r="X127" s="143">
        <v>0.00257</v>
      </c>
      <c r="Y127" s="141"/>
      <c r="Z127" s="141"/>
    </row>
    <row r="128" spans="1:6" ht="29.25">
      <c r="A128" s="95" t="s">
        <v>1202</v>
      </c>
      <c r="B128" s="195" t="s">
        <v>418</v>
      </c>
      <c r="C128" s="124" t="s">
        <v>1619</v>
      </c>
      <c r="D128" s="96"/>
      <c r="E128" s="99">
        <v>20</v>
      </c>
      <c r="F128" s="99">
        <v>20</v>
      </c>
    </row>
    <row r="129" spans="1:6" ht="29.25">
      <c r="A129" s="95" t="s">
        <v>1203</v>
      </c>
      <c r="B129" s="195" t="s">
        <v>418</v>
      </c>
      <c r="C129" s="124" t="s">
        <v>1620</v>
      </c>
      <c r="D129" s="96"/>
      <c r="E129" s="99">
        <v>50</v>
      </c>
      <c r="F129" s="99">
        <v>50</v>
      </c>
    </row>
    <row r="130" spans="1:26" s="13" customFormat="1" ht="15">
      <c r="A130" s="115" t="s">
        <v>1204</v>
      </c>
      <c r="B130" s="194" t="s">
        <v>418</v>
      </c>
      <c r="C130" s="117" t="s">
        <v>1621</v>
      </c>
      <c r="D130" s="116" t="s">
        <v>2610</v>
      </c>
      <c r="E130" s="119">
        <v>7580</v>
      </c>
      <c r="F130" s="119">
        <v>7634</v>
      </c>
      <c r="G130" s="141"/>
      <c r="H130" s="182" t="s">
        <v>413</v>
      </c>
      <c r="I130" s="141" t="s">
        <v>413</v>
      </c>
      <c r="J130" s="141" t="s">
        <v>413</v>
      </c>
      <c r="K130" s="141" t="s">
        <v>413</v>
      </c>
      <c r="L130" s="141" t="s">
        <v>413</v>
      </c>
      <c r="M130" s="141" t="s">
        <v>413</v>
      </c>
      <c r="N130" s="141" t="s">
        <v>413</v>
      </c>
      <c r="O130" s="141" t="s">
        <v>413</v>
      </c>
      <c r="P130" s="141" t="s">
        <v>413</v>
      </c>
      <c r="Q130" s="141" t="s">
        <v>413</v>
      </c>
      <c r="R130" s="141" t="s">
        <v>413</v>
      </c>
      <c r="S130" s="143">
        <v>0</v>
      </c>
      <c r="T130" s="143">
        <v>0</v>
      </c>
      <c r="U130" s="143">
        <v>0</v>
      </c>
      <c r="V130" s="143">
        <v>0</v>
      </c>
      <c r="W130" s="143">
        <v>0</v>
      </c>
      <c r="X130" s="143">
        <v>0</v>
      </c>
      <c r="Y130" s="141"/>
      <c r="Z130" s="141"/>
    </row>
    <row r="131" spans="1:6" ht="43.5">
      <c r="A131" s="95" t="s">
        <v>1205</v>
      </c>
      <c r="B131" s="195" t="s">
        <v>418</v>
      </c>
      <c r="C131" s="124" t="s">
        <v>1622</v>
      </c>
      <c r="D131" s="96"/>
      <c r="E131" s="99">
        <v>6110</v>
      </c>
      <c r="F131" s="99">
        <v>6153</v>
      </c>
    </row>
    <row r="132" spans="1:6" ht="57.75">
      <c r="A132" s="95" t="s">
        <v>1206</v>
      </c>
      <c r="B132" s="195" t="s">
        <v>418</v>
      </c>
      <c r="C132" s="124" t="s">
        <v>1623</v>
      </c>
      <c r="D132" s="96"/>
      <c r="E132" s="99">
        <v>1470</v>
      </c>
      <c r="F132" s="99">
        <v>1480</v>
      </c>
    </row>
    <row r="133" spans="1:26" s="50" customFormat="1" ht="15">
      <c r="A133" s="176" t="s">
        <v>1207</v>
      </c>
      <c r="B133" s="212" t="s">
        <v>198</v>
      </c>
      <c r="C133" s="178" t="s">
        <v>1624</v>
      </c>
      <c r="D133" s="177" t="s">
        <v>2063</v>
      </c>
      <c r="E133" s="180">
        <v>2320</v>
      </c>
      <c r="F133" s="180">
        <v>2336</v>
      </c>
      <c r="G133" s="181"/>
      <c r="H133" s="224"/>
      <c r="I133" s="181"/>
      <c r="J133" s="257"/>
      <c r="K133" s="181"/>
      <c r="L133" s="181"/>
      <c r="M133" s="181"/>
      <c r="N133" s="181"/>
      <c r="O133" s="181"/>
      <c r="P133" s="181"/>
      <c r="Q133" s="181"/>
      <c r="R133" s="181"/>
      <c r="S133" s="187"/>
      <c r="T133" s="187"/>
      <c r="U133" s="187"/>
      <c r="V133" s="187"/>
      <c r="W133" s="187"/>
      <c r="X133" s="187"/>
      <c r="Y133" s="181"/>
      <c r="Z133" s="181"/>
    </row>
    <row r="134" spans="1:6" ht="43.5">
      <c r="A134" s="95" t="s">
        <v>1208</v>
      </c>
      <c r="B134" s="195" t="s">
        <v>198</v>
      </c>
      <c r="C134" s="124" t="s">
        <v>1625</v>
      </c>
      <c r="D134" s="96"/>
      <c r="E134" s="99">
        <v>170</v>
      </c>
      <c r="F134" s="99">
        <v>171</v>
      </c>
    </row>
    <row r="135" spans="1:6" ht="43.5">
      <c r="A135" s="95" t="s">
        <v>1209</v>
      </c>
      <c r="B135" s="195" t="s">
        <v>198</v>
      </c>
      <c r="C135" s="124" t="s">
        <v>1626</v>
      </c>
      <c r="D135" s="96"/>
      <c r="E135" s="99">
        <v>0</v>
      </c>
      <c r="F135" s="99">
        <v>0</v>
      </c>
    </row>
    <row r="136" spans="1:26" s="13" customFormat="1" ht="72">
      <c r="A136" s="115" t="s">
        <v>1210</v>
      </c>
      <c r="B136" s="194" t="s">
        <v>198</v>
      </c>
      <c r="C136" s="117" t="s">
        <v>1627</v>
      </c>
      <c r="D136" s="116" t="s">
        <v>2611</v>
      </c>
      <c r="E136" s="119">
        <v>600</v>
      </c>
      <c r="F136" s="119">
        <v>604</v>
      </c>
      <c r="G136" s="141" t="s">
        <v>2595</v>
      </c>
      <c r="H136" s="182" t="s">
        <v>413</v>
      </c>
      <c r="I136" s="141" t="s">
        <v>413</v>
      </c>
      <c r="J136" s="258">
        <v>0.25</v>
      </c>
      <c r="K136" s="141" t="s">
        <v>413</v>
      </c>
      <c r="L136" s="141" t="s">
        <v>413</v>
      </c>
      <c r="M136" s="141" t="s">
        <v>413</v>
      </c>
      <c r="N136" s="141" t="s">
        <v>413</v>
      </c>
      <c r="O136" s="141" t="s">
        <v>413</v>
      </c>
      <c r="P136" s="141" t="s">
        <v>413</v>
      </c>
      <c r="Q136" s="141" t="s">
        <v>413</v>
      </c>
      <c r="R136" s="141" t="s">
        <v>413</v>
      </c>
      <c r="S136" s="143" t="s">
        <v>413</v>
      </c>
      <c r="T136" s="143">
        <v>0.0122</v>
      </c>
      <c r="U136" s="143" t="s">
        <v>413</v>
      </c>
      <c r="V136" s="143">
        <v>0.00149</v>
      </c>
      <c r="W136" s="143" t="s">
        <v>413</v>
      </c>
      <c r="X136" s="143">
        <v>0.00276</v>
      </c>
      <c r="Y136" s="141"/>
      <c r="Z136" s="141"/>
    </row>
    <row r="137" spans="1:6" ht="86.25">
      <c r="A137" s="95" t="s">
        <v>1211</v>
      </c>
      <c r="B137" s="195" t="s">
        <v>198</v>
      </c>
      <c r="C137" s="124" t="s">
        <v>1628</v>
      </c>
      <c r="D137" s="96"/>
      <c r="E137" s="99">
        <v>410</v>
      </c>
      <c r="F137" s="99">
        <v>413</v>
      </c>
    </row>
    <row r="138" spans="1:26" s="13" customFormat="1" ht="72">
      <c r="A138" s="115" t="s">
        <v>1212</v>
      </c>
      <c r="B138" s="194" t="s">
        <v>198</v>
      </c>
      <c r="C138" s="117" t="s">
        <v>1629</v>
      </c>
      <c r="D138" s="116" t="s">
        <v>2612</v>
      </c>
      <c r="E138" s="119">
        <v>140</v>
      </c>
      <c r="F138" s="119">
        <v>141</v>
      </c>
      <c r="G138" s="141" t="s">
        <v>2595</v>
      </c>
      <c r="H138" s="182" t="s">
        <v>413</v>
      </c>
      <c r="I138" s="141" t="s">
        <v>413</v>
      </c>
      <c r="J138" s="258">
        <v>0.25</v>
      </c>
      <c r="K138" s="141" t="s">
        <v>413</v>
      </c>
      <c r="L138" s="141" t="s">
        <v>413</v>
      </c>
      <c r="M138" s="141" t="s">
        <v>413</v>
      </c>
      <c r="N138" s="141" t="s">
        <v>413</v>
      </c>
      <c r="O138" s="141" t="s">
        <v>413</v>
      </c>
      <c r="P138" s="141" t="s">
        <v>413</v>
      </c>
      <c r="Q138" s="141" t="s">
        <v>413</v>
      </c>
      <c r="R138" s="141" t="s">
        <v>413</v>
      </c>
      <c r="S138" s="143" t="s">
        <v>413</v>
      </c>
      <c r="T138" s="143">
        <v>0.04841</v>
      </c>
      <c r="U138" s="143" t="s">
        <v>413</v>
      </c>
      <c r="V138" s="143">
        <v>0.00196</v>
      </c>
      <c r="W138" s="143" t="s">
        <v>413</v>
      </c>
      <c r="X138" s="143">
        <v>0.00302</v>
      </c>
      <c r="Y138" s="141"/>
      <c r="Z138" s="141"/>
    </row>
    <row r="139" spans="1:26" s="13" customFormat="1" ht="43.5">
      <c r="A139" s="115" t="s">
        <v>1213</v>
      </c>
      <c r="B139" s="194" t="s">
        <v>198</v>
      </c>
      <c r="C139" s="117" t="s">
        <v>1630</v>
      </c>
      <c r="D139" s="116" t="s">
        <v>2613</v>
      </c>
      <c r="E139" s="119">
        <v>120</v>
      </c>
      <c r="F139" s="119">
        <v>121</v>
      </c>
      <c r="G139" s="141" t="s">
        <v>2595</v>
      </c>
      <c r="H139" s="182" t="s">
        <v>413</v>
      </c>
      <c r="I139" s="141" t="s">
        <v>413</v>
      </c>
      <c r="J139" s="258">
        <v>0.25</v>
      </c>
      <c r="K139" s="141" t="s">
        <v>413</v>
      </c>
      <c r="L139" s="141" t="s">
        <v>413</v>
      </c>
      <c r="M139" s="141" t="s">
        <v>413</v>
      </c>
      <c r="N139" s="141" t="s">
        <v>413</v>
      </c>
      <c r="O139" s="141" t="s">
        <v>413</v>
      </c>
      <c r="P139" s="141" t="s">
        <v>413</v>
      </c>
      <c r="Q139" s="141" t="s">
        <v>413</v>
      </c>
      <c r="R139" s="141" t="s">
        <v>413</v>
      </c>
      <c r="S139" s="143" t="s">
        <v>413</v>
      </c>
      <c r="T139" s="143">
        <v>0.03871</v>
      </c>
      <c r="U139" s="143" t="s">
        <v>413</v>
      </c>
      <c r="V139" s="143">
        <v>0.00212</v>
      </c>
      <c r="W139" s="143" t="s">
        <v>413</v>
      </c>
      <c r="X139" s="143">
        <v>0.00278</v>
      </c>
      <c r="Y139" s="141"/>
      <c r="Z139" s="141"/>
    </row>
    <row r="140" spans="1:6" ht="72">
      <c r="A140" s="95" t="s">
        <v>1214</v>
      </c>
      <c r="B140" s="195" t="s">
        <v>198</v>
      </c>
      <c r="C140" s="124" t="s">
        <v>1631</v>
      </c>
      <c r="D140" s="96"/>
      <c r="E140" s="99">
        <v>100</v>
      </c>
      <c r="F140" s="99">
        <v>101</v>
      </c>
    </row>
    <row r="141" spans="1:26" s="13" customFormat="1" ht="29.25">
      <c r="A141" s="115" t="s">
        <v>1215</v>
      </c>
      <c r="B141" s="194" t="s">
        <v>198</v>
      </c>
      <c r="C141" s="117" t="s">
        <v>1632</v>
      </c>
      <c r="D141" s="116" t="s">
        <v>2607</v>
      </c>
      <c r="E141" s="119">
        <v>830</v>
      </c>
      <c r="F141" s="119">
        <v>836</v>
      </c>
      <c r="G141" s="141" t="s">
        <v>2614</v>
      </c>
      <c r="H141" s="182" t="s">
        <v>413</v>
      </c>
      <c r="I141" s="141" t="s">
        <v>413</v>
      </c>
      <c r="J141" s="141" t="s">
        <v>413</v>
      </c>
      <c r="K141" s="141" t="s">
        <v>413</v>
      </c>
      <c r="L141" s="141" t="s">
        <v>413</v>
      </c>
      <c r="M141" s="141" t="s">
        <v>413</v>
      </c>
      <c r="N141" s="141" t="s">
        <v>413</v>
      </c>
      <c r="O141" s="141" t="s">
        <v>413</v>
      </c>
      <c r="P141" s="141" t="s">
        <v>413</v>
      </c>
      <c r="Q141" s="141" t="s">
        <v>413</v>
      </c>
      <c r="R141" s="141" t="s">
        <v>413</v>
      </c>
      <c r="S141" s="143" t="s">
        <v>413</v>
      </c>
      <c r="T141" s="143">
        <v>0.020258068773792767</v>
      </c>
      <c r="U141" s="143" t="s">
        <v>413</v>
      </c>
      <c r="V141" s="143">
        <v>0.0001639256848599083</v>
      </c>
      <c r="W141" s="143" t="s">
        <v>413</v>
      </c>
      <c r="X141" s="143">
        <v>0.26432063266230843</v>
      </c>
      <c r="Y141" s="141"/>
      <c r="Z141" s="141"/>
    </row>
    <row r="142" spans="1:26" s="13" customFormat="1" ht="43.5">
      <c r="A142" s="115">
        <v>30</v>
      </c>
      <c r="B142" s="116" t="s">
        <v>204</v>
      </c>
      <c r="C142" s="117" t="s">
        <v>290</v>
      </c>
      <c r="D142" s="116" t="s">
        <v>2060</v>
      </c>
      <c r="E142" s="119">
        <v>1860</v>
      </c>
      <c r="F142" s="119">
        <v>1873</v>
      </c>
      <c r="G142" s="141" t="s">
        <v>2595</v>
      </c>
      <c r="H142" s="182" t="s">
        <v>413</v>
      </c>
      <c r="I142" s="141" t="s">
        <v>413</v>
      </c>
      <c r="J142" s="258">
        <v>0</v>
      </c>
      <c r="K142" s="141" t="s">
        <v>413</v>
      </c>
      <c r="L142" s="141" t="s">
        <v>413</v>
      </c>
      <c r="M142" s="141" t="s">
        <v>413</v>
      </c>
      <c r="N142" s="141" t="s">
        <v>413</v>
      </c>
      <c r="O142" s="141" t="s">
        <v>413</v>
      </c>
      <c r="P142" s="141" t="s">
        <v>413</v>
      </c>
      <c r="Q142" s="141" t="s">
        <v>413</v>
      </c>
      <c r="R142" s="141" t="s">
        <v>413</v>
      </c>
      <c r="S142" s="143" t="s">
        <v>413</v>
      </c>
      <c r="T142" s="143">
        <v>0.01656</v>
      </c>
      <c r="U142" s="143" t="s">
        <v>413</v>
      </c>
      <c r="V142" s="143">
        <v>0.00259</v>
      </c>
      <c r="W142" s="143" t="s">
        <v>413</v>
      </c>
      <c r="X142" s="143">
        <v>0.00602</v>
      </c>
      <c r="Y142" s="141"/>
      <c r="Z142" s="141"/>
    </row>
    <row r="143" spans="1:26" s="13" customFormat="1" ht="43.5">
      <c r="A143" s="115">
        <v>266</v>
      </c>
      <c r="B143" s="116" t="s">
        <v>204</v>
      </c>
      <c r="C143" s="117" t="s">
        <v>292</v>
      </c>
      <c r="D143" s="116" t="s">
        <v>2061</v>
      </c>
      <c r="E143" s="119">
        <v>1910</v>
      </c>
      <c r="F143" s="119">
        <v>1924</v>
      </c>
      <c r="G143" s="141" t="s">
        <v>2595</v>
      </c>
      <c r="H143" s="182" t="s">
        <v>413</v>
      </c>
      <c r="I143" s="141" t="s">
        <v>413</v>
      </c>
      <c r="J143" s="258">
        <v>0</v>
      </c>
      <c r="K143" s="141" t="s">
        <v>413</v>
      </c>
      <c r="L143" s="141" t="s">
        <v>413</v>
      </c>
      <c r="M143" s="141" t="s">
        <v>413</v>
      </c>
      <c r="N143" s="141" t="s">
        <v>413</v>
      </c>
      <c r="O143" s="141" t="s">
        <v>413</v>
      </c>
      <c r="P143" s="141" t="s">
        <v>413</v>
      </c>
      <c r="Q143" s="141" t="s">
        <v>413</v>
      </c>
      <c r="R143" s="141" t="s">
        <v>413</v>
      </c>
      <c r="S143" s="143" t="s">
        <v>413</v>
      </c>
      <c r="T143" s="143">
        <v>0.01979</v>
      </c>
      <c r="U143" s="143" t="s">
        <v>413</v>
      </c>
      <c r="V143" s="143">
        <v>0.00195</v>
      </c>
      <c r="W143" s="143" t="s">
        <v>413</v>
      </c>
      <c r="X143" s="143">
        <v>0.00257</v>
      </c>
      <c r="Y143" s="141"/>
      <c r="Z143" s="141"/>
    </row>
    <row r="144" spans="1:6" ht="43.5">
      <c r="A144" s="95">
        <v>256</v>
      </c>
      <c r="B144" s="96" t="s">
        <v>204</v>
      </c>
      <c r="C144" s="97" t="s">
        <v>291</v>
      </c>
      <c r="D144" s="96" t="s">
        <v>2062</v>
      </c>
      <c r="E144" s="99">
        <v>310</v>
      </c>
      <c r="F144" s="99">
        <v>312</v>
      </c>
    </row>
  </sheetData>
  <sheetProtection/>
  <mergeCells count="2">
    <mergeCell ref="K1:M1"/>
    <mergeCell ref="O1:Q1"/>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X117"/>
  <sheetViews>
    <sheetView tabSelected="1" zoomScalePageLayoutView="0" workbookViewId="0" topLeftCell="K1">
      <pane ySplit="1" topLeftCell="A2" activePane="bottomLeft" state="frozen"/>
      <selection pane="topLeft" activeCell="A1" sqref="A1"/>
      <selection pane="bottomLeft" activeCell="S18" sqref="S18:X18"/>
    </sheetView>
  </sheetViews>
  <sheetFormatPr defaultColWidth="10.8515625" defaultRowHeight="12.75"/>
  <cols>
    <col min="1" max="2" width="10.8515625" style="0" customWidth="1"/>
    <col min="3" max="3" width="21.57421875" style="0" customWidth="1"/>
    <col min="4" max="6" width="10.8515625" style="0" customWidth="1"/>
    <col min="7" max="7" width="32.421875" style="0" customWidth="1"/>
    <col min="8" max="8" width="32.421875" style="227" customWidth="1"/>
    <col min="9" max="9" width="21.57421875" style="0" customWidth="1"/>
    <col min="10" max="10" width="10.8515625" style="19" customWidth="1"/>
    <col min="11" max="12" width="10.8515625" style="0" customWidth="1"/>
    <col min="13" max="13" width="38.140625" style="0" customWidth="1"/>
    <col min="14" max="16" width="10.8515625" style="0" customWidth="1"/>
    <col min="17" max="17" width="26.421875" style="0" customWidth="1"/>
    <col min="18" max="18" width="10.8515625" style="0" customWidth="1"/>
    <col min="19" max="19" width="17.57421875" style="245" customWidth="1"/>
    <col min="20" max="20" width="16.00390625" style="245" customWidth="1"/>
    <col min="21" max="21" width="12.7109375" style="245" customWidth="1"/>
    <col min="22" max="22" width="10.8515625" style="245" bestFit="1" customWidth="1"/>
    <col min="23" max="23" width="15.57421875" style="245" bestFit="1" customWidth="1"/>
    <col min="24" max="24" width="20.421875" style="245" customWidth="1"/>
  </cols>
  <sheetData>
    <row r="1" spans="1:24" ht="25.5" customHeight="1">
      <c r="A1" s="647" t="s">
        <v>2625</v>
      </c>
      <c r="B1" s="647"/>
      <c r="C1" s="647"/>
      <c r="D1" s="647"/>
      <c r="E1" s="79" t="s">
        <v>2626</v>
      </c>
      <c r="F1" s="79" t="s">
        <v>2627</v>
      </c>
      <c r="G1" s="1" t="s">
        <v>1712</v>
      </c>
      <c r="H1" s="219" t="s">
        <v>2376</v>
      </c>
      <c r="I1" s="1" t="s">
        <v>2375</v>
      </c>
      <c r="J1" s="18" t="s">
        <v>1708</v>
      </c>
      <c r="K1" s="645" t="s">
        <v>2377</v>
      </c>
      <c r="L1" s="646"/>
      <c r="M1" s="646"/>
      <c r="N1" s="1" t="s">
        <v>1710</v>
      </c>
      <c r="O1" s="645" t="s">
        <v>2336</v>
      </c>
      <c r="P1" s="646"/>
      <c r="Q1" s="646"/>
      <c r="R1" s="1" t="s">
        <v>2274</v>
      </c>
      <c r="S1" s="238" t="s">
        <v>2527</v>
      </c>
      <c r="T1" s="238" t="s">
        <v>2528</v>
      </c>
      <c r="U1" s="238" t="s">
        <v>2529</v>
      </c>
      <c r="V1" s="238" t="s">
        <v>2530</v>
      </c>
      <c r="W1" s="238" t="s">
        <v>2532</v>
      </c>
      <c r="X1" s="239" t="s">
        <v>2531</v>
      </c>
    </row>
    <row r="2" spans="1:24" s="203" customFormat="1" ht="31.5">
      <c r="A2" s="21" t="s">
        <v>973</v>
      </c>
      <c r="B2" s="202" t="s">
        <v>194</v>
      </c>
      <c r="C2" s="22" t="s">
        <v>318</v>
      </c>
      <c r="D2" s="24" t="s">
        <v>2629</v>
      </c>
      <c r="E2" s="23">
        <v>45690</v>
      </c>
      <c r="F2" s="23">
        <v>45461</v>
      </c>
      <c r="H2" s="232"/>
      <c r="J2" s="205"/>
      <c r="S2" s="240"/>
      <c r="T2" s="240"/>
      <c r="U2" s="240"/>
      <c r="V2" s="240"/>
      <c r="W2" s="240"/>
      <c r="X2" s="240"/>
    </row>
    <row r="3" spans="1:24" s="33" customFormat="1" ht="63.75">
      <c r="A3" s="29" t="s">
        <v>974</v>
      </c>
      <c r="B3" s="42" t="s">
        <v>194</v>
      </c>
      <c r="C3" s="31" t="s">
        <v>1412</v>
      </c>
      <c r="D3" s="30" t="s">
        <v>1967</v>
      </c>
      <c r="E3" s="32">
        <v>7760</v>
      </c>
      <c r="F3" s="32">
        <v>5636</v>
      </c>
      <c r="H3" s="233"/>
      <c r="J3" s="46"/>
      <c r="S3" s="241"/>
      <c r="T3" s="241"/>
      <c r="U3" s="241"/>
      <c r="V3" s="241"/>
      <c r="W3" s="241"/>
      <c r="X3" s="241"/>
    </row>
    <row r="4" spans="1:24" s="38" customFormat="1" ht="63.75">
      <c r="A4" s="34" t="s">
        <v>975</v>
      </c>
      <c r="B4" s="43" t="s">
        <v>194</v>
      </c>
      <c r="C4" s="36" t="s">
        <v>1413</v>
      </c>
      <c r="D4" s="35" t="s">
        <v>1969</v>
      </c>
      <c r="E4" s="37">
        <v>1980</v>
      </c>
      <c r="F4" s="37">
        <v>1438</v>
      </c>
      <c r="H4" s="234"/>
      <c r="J4" s="47"/>
      <c r="S4" s="242"/>
      <c r="T4" s="242"/>
      <c r="U4" s="242"/>
      <c r="V4" s="242"/>
      <c r="W4" s="242"/>
      <c r="X4" s="242"/>
    </row>
    <row r="5" spans="1:24" s="13" customFormat="1" ht="25.5">
      <c r="A5" s="44" t="s">
        <v>1647</v>
      </c>
      <c r="B5" s="15" t="s">
        <v>194</v>
      </c>
      <c r="C5" s="11" t="s">
        <v>1684</v>
      </c>
      <c r="D5" s="10" t="s">
        <v>1968</v>
      </c>
      <c r="E5" s="26">
        <v>290</v>
      </c>
      <c r="F5" s="26">
        <v>211</v>
      </c>
      <c r="G5" s="16" t="s">
        <v>2327</v>
      </c>
      <c r="H5" s="235">
        <v>616.1279251170048</v>
      </c>
      <c r="I5" s="13">
        <v>555</v>
      </c>
      <c r="J5" s="45">
        <v>0.25</v>
      </c>
      <c r="K5" s="16" t="s">
        <v>2384</v>
      </c>
      <c r="L5" s="16" t="s">
        <v>2385</v>
      </c>
      <c r="M5" s="16" t="s">
        <v>2386</v>
      </c>
      <c r="N5" s="16" t="s">
        <v>2145</v>
      </c>
      <c r="O5" s="16" t="s">
        <v>2250</v>
      </c>
      <c r="P5" s="16" t="s">
        <v>2387</v>
      </c>
      <c r="R5" s="16" t="s">
        <v>2417</v>
      </c>
      <c r="S5" s="243">
        <f>5.333/0.681</f>
        <v>7.831130690161527</v>
      </c>
      <c r="T5" s="243">
        <v>0.00866</v>
      </c>
      <c r="U5" s="243">
        <f>1.4267/0.681</f>
        <v>2.095007342143906</v>
      </c>
      <c r="V5" s="243">
        <v>0.00232</v>
      </c>
      <c r="W5" s="243">
        <f>772.693/0.681</f>
        <v>1134.6446402349486</v>
      </c>
      <c r="X5" s="243">
        <v>1.25413</v>
      </c>
    </row>
    <row r="6" spans="1:24" s="13" customFormat="1" ht="25.5">
      <c r="A6" s="9" t="s">
        <v>976</v>
      </c>
      <c r="B6" s="15" t="s">
        <v>194</v>
      </c>
      <c r="C6" s="11" t="s">
        <v>1414</v>
      </c>
      <c r="D6" s="10" t="s">
        <v>1970</v>
      </c>
      <c r="E6" s="26">
        <v>1690</v>
      </c>
      <c r="F6" s="26">
        <v>1227</v>
      </c>
      <c r="G6" s="16" t="s">
        <v>2326</v>
      </c>
      <c r="H6" s="235">
        <v>4841.322308892355</v>
      </c>
      <c r="I6" s="13">
        <v>4361</v>
      </c>
      <c r="J6" s="45">
        <v>0.25</v>
      </c>
      <c r="K6" s="16" t="s">
        <v>2332</v>
      </c>
      <c r="L6" s="16" t="s">
        <v>2331</v>
      </c>
      <c r="M6" s="16" t="s">
        <v>2378</v>
      </c>
      <c r="N6" s="16" t="s">
        <v>2441</v>
      </c>
      <c r="O6" s="16" t="s">
        <v>2250</v>
      </c>
      <c r="P6" s="16" t="s">
        <v>2388</v>
      </c>
      <c r="R6" s="16" t="s">
        <v>2383</v>
      </c>
      <c r="S6" s="243">
        <f>122.0942/9.43</f>
        <v>12.94742311770944</v>
      </c>
      <c r="T6" s="243">
        <v>0.02522</v>
      </c>
      <c r="U6" s="243">
        <f>18.9063/9.43</f>
        <v>2.0049098621421</v>
      </c>
      <c r="V6" s="243">
        <v>0.00391</v>
      </c>
      <c r="W6" s="243">
        <f>463391/9.43</f>
        <v>49140.084835630965</v>
      </c>
      <c r="X6" s="243">
        <v>95.7159</v>
      </c>
    </row>
    <row r="7" spans="1:24" s="14" customFormat="1" ht="12.75">
      <c r="A7" s="4" t="s">
        <v>977</v>
      </c>
      <c r="B7" s="5" t="s">
        <v>194</v>
      </c>
      <c r="C7" s="7" t="s">
        <v>1415</v>
      </c>
      <c r="D7" s="8"/>
      <c r="E7" s="27">
        <v>1340</v>
      </c>
      <c r="F7" s="27">
        <v>973</v>
      </c>
      <c r="H7" s="236"/>
      <c r="J7" s="40"/>
      <c r="P7" s="14">
        <f>2.018+0.44</f>
        <v>2.4579999999999997</v>
      </c>
      <c r="S7" s="244"/>
      <c r="T7" s="244"/>
      <c r="U7" s="244"/>
      <c r="V7" s="244"/>
      <c r="W7" s="244"/>
      <c r="X7" s="244"/>
    </row>
    <row r="8" spans="1:8" ht="25.5">
      <c r="A8" s="4" t="s">
        <v>978</v>
      </c>
      <c r="B8" s="5" t="s">
        <v>194</v>
      </c>
      <c r="C8" s="2" t="s">
        <v>1416</v>
      </c>
      <c r="D8" s="3"/>
      <c r="E8" s="25" t="s">
        <v>1689</v>
      </c>
      <c r="F8" s="25" t="s">
        <v>1689</v>
      </c>
      <c r="G8" s="14"/>
      <c r="H8" s="236"/>
    </row>
    <row r="9" spans="1:6" ht="12.75">
      <c r="A9" s="4" t="s">
        <v>979</v>
      </c>
      <c r="B9" s="5" t="s">
        <v>194</v>
      </c>
      <c r="C9" s="2" t="s">
        <v>1417</v>
      </c>
      <c r="D9" s="3"/>
      <c r="E9" s="25">
        <v>110</v>
      </c>
      <c r="F9" s="25">
        <v>80</v>
      </c>
    </row>
    <row r="10" spans="1:6" ht="12.75">
      <c r="A10" s="6" t="s">
        <v>1683</v>
      </c>
      <c r="B10" s="5" t="s">
        <v>1436</v>
      </c>
      <c r="C10" s="2" t="s">
        <v>1682</v>
      </c>
      <c r="D10" s="3"/>
      <c r="E10" s="12">
        <v>200</v>
      </c>
      <c r="F10" s="12">
        <v>145</v>
      </c>
    </row>
    <row r="11" spans="1:24" s="38" customFormat="1" ht="51">
      <c r="A11" s="34" t="s">
        <v>980</v>
      </c>
      <c r="B11" s="43" t="s">
        <v>194</v>
      </c>
      <c r="C11" s="36" t="s">
        <v>1418</v>
      </c>
      <c r="D11" s="35" t="s">
        <v>1971</v>
      </c>
      <c r="E11" s="37" t="s">
        <v>1689</v>
      </c>
      <c r="F11" s="37" t="s">
        <v>1689</v>
      </c>
      <c r="H11" s="234"/>
      <c r="J11" s="47"/>
      <c r="S11" s="242"/>
      <c r="T11" s="242"/>
      <c r="U11" s="242"/>
      <c r="V11" s="242"/>
      <c r="W11" s="242"/>
      <c r="X11" s="242"/>
    </row>
    <row r="12" spans="1:6" ht="38.25">
      <c r="A12" s="4" t="s">
        <v>981</v>
      </c>
      <c r="B12" s="5" t="s">
        <v>194</v>
      </c>
      <c r="C12" s="2" t="s">
        <v>1419</v>
      </c>
      <c r="D12" s="3" t="s">
        <v>1972</v>
      </c>
      <c r="E12" s="25">
        <v>0</v>
      </c>
      <c r="F12" s="25">
        <v>0</v>
      </c>
    </row>
    <row r="13" spans="1:6" ht="12.75">
      <c r="A13" s="6" t="s">
        <v>1685</v>
      </c>
      <c r="B13" s="5" t="s">
        <v>194</v>
      </c>
      <c r="C13" s="2" t="s">
        <v>1688</v>
      </c>
      <c r="D13" s="3"/>
      <c r="E13" s="25" t="s">
        <v>1689</v>
      </c>
      <c r="F13" s="25" t="s">
        <v>1689</v>
      </c>
    </row>
    <row r="14" spans="1:11" ht="12.75">
      <c r="A14" s="6" t="s">
        <v>1686</v>
      </c>
      <c r="B14" s="5" t="s">
        <v>194</v>
      </c>
      <c r="C14" s="2" t="s">
        <v>1687</v>
      </c>
      <c r="D14" s="3"/>
      <c r="E14" s="25" t="s">
        <v>1689</v>
      </c>
      <c r="F14" s="25" t="s">
        <v>1689</v>
      </c>
      <c r="K14" s="14"/>
    </row>
    <row r="15" spans="1:6" ht="12.75">
      <c r="A15" s="6" t="s">
        <v>1420</v>
      </c>
      <c r="B15" s="5" t="s">
        <v>418</v>
      </c>
      <c r="C15" s="2" t="s">
        <v>1421</v>
      </c>
      <c r="D15" s="3"/>
      <c r="E15" s="25" t="s">
        <v>1689</v>
      </c>
      <c r="F15" s="25" t="s">
        <v>1689</v>
      </c>
    </row>
    <row r="16" spans="1:6" ht="12.75">
      <c r="A16" s="4" t="s">
        <v>982</v>
      </c>
      <c r="B16" s="5" t="s">
        <v>194</v>
      </c>
      <c r="C16" s="2" t="s">
        <v>1422</v>
      </c>
      <c r="D16" s="3" t="s">
        <v>1973</v>
      </c>
      <c r="E16" s="25" t="s">
        <v>1689</v>
      </c>
      <c r="F16" s="25" t="s">
        <v>1689</v>
      </c>
    </row>
    <row r="17" spans="1:6" ht="12.75">
      <c r="A17" s="4" t="s">
        <v>983</v>
      </c>
      <c r="B17" s="5" t="s">
        <v>194</v>
      </c>
      <c r="C17" s="2" t="s">
        <v>1423</v>
      </c>
      <c r="D17" s="3"/>
      <c r="E17" s="25" t="s">
        <v>1689</v>
      </c>
      <c r="F17" s="25" t="s">
        <v>1689</v>
      </c>
    </row>
    <row r="18" spans="1:24" s="13" customFormat="1" ht="25.5">
      <c r="A18" s="9" t="s">
        <v>984</v>
      </c>
      <c r="B18" s="15" t="s">
        <v>194</v>
      </c>
      <c r="C18" s="11" t="s">
        <v>1424</v>
      </c>
      <c r="D18" s="10" t="s">
        <v>1974</v>
      </c>
      <c r="E18" s="26">
        <v>4540</v>
      </c>
      <c r="F18" s="26">
        <v>3297</v>
      </c>
      <c r="G18" s="16" t="s">
        <v>2329</v>
      </c>
      <c r="H18" s="235">
        <v>11701.65697347894</v>
      </c>
      <c r="I18" s="13">
        <v>10540.7</v>
      </c>
      <c r="J18" s="45">
        <v>0.25</v>
      </c>
      <c r="K18" s="16" t="s">
        <v>2350</v>
      </c>
      <c r="L18" s="16" t="s">
        <v>2330</v>
      </c>
      <c r="M18" s="16" t="s">
        <v>2333</v>
      </c>
      <c r="N18" s="16" t="s">
        <v>2442</v>
      </c>
      <c r="O18" s="16" t="s">
        <v>2250</v>
      </c>
      <c r="P18" s="16" t="s">
        <v>2335</v>
      </c>
      <c r="R18" s="16" t="s">
        <v>2337</v>
      </c>
      <c r="S18" s="243">
        <f>105.1578/1.36</f>
        <v>77.32191176470587</v>
      </c>
      <c r="T18" s="243">
        <v>0.00899</v>
      </c>
      <c r="U18" s="243">
        <f>4.7507/1.36</f>
        <v>3.4931617647058824</v>
      </c>
      <c r="V18" s="243">
        <v>0.00041</v>
      </c>
      <c r="W18" s="243">
        <f>432730/1.36</f>
        <v>318183.82352941175</v>
      </c>
      <c r="X18" s="243">
        <v>36.9803</v>
      </c>
    </row>
    <row r="19" spans="1:6" ht="25.5">
      <c r="A19" s="4" t="s">
        <v>985</v>
      </c>
      <c r="B19" s="5" t="s">
        <v>194</v>
      </c>
      <c r="C19" s="2" t="s">
        <v>1424</v>
      </c>
      <c r="D19" s="3"/>
      <c r="E19" s="25">
        <v>0</v>
      </c>
      <c r="F19" s="25">
        <v>0</v>
      </c>
    </row>
    <row r="20" spans="1:24" s="38" customFormat="1" ht="12.75">
      <c r="A20" s="34" t="s">
        <v>986</v>
      </c>
      <c r="B20" s="43" t="s">
        <v>418</v>
      </c>
      <c r="C20" s="36" t="s">
        <v>1425</v>
      </c>
      <c r="D20" s="35" t="s">
        <v>1975</v>
      </c>
      <c r="E20" s="37">
        <v>220</v>
      </c>
      <c r="F20" s="37">
        <v>160</v>
      </c>
      <c r="H20" s="234"/>
      <c r="J20" s="47"/>
      <c r="S20" s="242"/>
      <c r="T20" s="242"/>
      <c r="U20" s="242"/>
      <c r="V20" s="242"/>
      <c r="W20" s="242"/>
      <c r="X20" s="242"/>
    </row>
    <row r="21" spans="1:24" s="13" customFormat="1" ht="12.75">
      <c r="A21" s="9" t="s">
        <v>987</v>
      </c>
      <c r="B21" s="15" t="s">
        <v>418</v>
      </c>
      <c r="C21" s="11" t="s">
        <v>1426</v>
      </c>
      <c r="D21" s="10" t="s">
        <v>2328</v>
      </c>
      <c r="E21" s="26">
        <v>160</v>
      </c>
      <c r="F21" s="26">
        <v>116</v>
      </c>
      <c r="G21" s="16" t="s">
        <v>2347</v>
      </c>
      <c r="H21" s="235">
        <v>165.4109204368175</v>
      </c>
      <c r="I21" s="13">
        <v>149</v>
      </c>
      <c r="J21" s="45">
        <v>0.25</v>
      </c>
      <c r="K21" s="16" t="s">
        <v>2344</v>
      </c>
      <c r="L21" s="16" t="s">
        <v>2345</v>
      </c>
      <c r="M21" s="16" t="s">
        <v>2346</v>
      </c>
      <c r="N21" s="16" t="s">
        <v>2439</v>
      </c>
      <c r="O21" s="16" t="s">
        <v>2348</v>
      </c>
      <c r="P21" s="16" t="s">
        <v>2349</v>
      </c>
      <c r="Q21" s="16"/>
      <c r="R21" s="16" t="s">
        <v>2352</v>
      </c>
      <c r="S21" s="243">
        <f>2.2177/0.017</f>
        <v>130.45294117647057</v>
      </c>
      <c r="T21" s="243">
        <v>0.01341</v>
      </c>
      <c r="U21" s="243">
        <f>0.3054/0.017</f>
        <v>17.96470588235294</v>
      </c>
      <c r="V21" s="243">
        <v>0.00185</v>
      </c>
      <c r="W21" s="243">
        <f>71.2795/0.017</f>
        <v>4192.911764705882</v>
      </c>
      <c r="X21" s="243">
        <v>0.43093</v>
      </c>
    </row>
    <row r="22" spans="1:6" ht="12.75">
      <c r="A22" s="4" t="s">
        <v>988</v>
      </c>
      <c r="B22" s="5" t="s">
        <v>418</v>
      </c>
      <c r="C22" s="2" t="s">
        <v>1427</v>
      </c>
      <c r="D22" s="3"/>
      <c r="E22" s="25" t="s">
        <v>1689</v>
      </c>
      <c r="F22" s="25" t="s">
        <v>1689</v>
      </c>
    </row>
    <row r="23" spans="1:6" ht="12.75">
      <c r="A23" s="4" t="s">
        <v>989</v>
      </c>
      <c r="B23" s="5" t="s">
        <v>418</v>
      </c>
      <c r="C23" s="2" t="s">
        <v>1428</v>
      </c>
      <c r="D23" s="3"/>
      <c r="E23" s="25" t="s">
        <v>1689</v>
      </c>
      <c r="F23" s="25" t="s">
        <v>1689</v>
      </c>
    </row>
    <row r="24" spans="1:6" ht="12.75">
      <c r="A24" s="4" t="s">
        <v>990</v>
      </c>
      <c r="B24" s="5" t="s">
        <v>418</v>
      </c>
      <c r="C24" s="2" t="s">
        <v>1429</v>
      </c>
      <c r="D24" s="3"/>
      <c r="E24" s="25" t="s">
        <v>1689</v>
      </c>
      <c r="F24" s="25" t="s">
        <v>1689</v>
      </c>
    </row>
    <row r="25" spans="1:6" ht="12.75">
      <c r="A25" s="4" t="s">
        <v>991</v>
      </c>
      <c r="B25" s="5" t="s">
        <v>418</v>
      </c>
      <c r="C25" s="2" t="s">
        <v>1430</v>
      </c>
      <c r="D25" s="3"/>
      <c r="E25" s="25" t="s">
        <v>1689</v>
      </c>
      <c r="F25" s="25" t="s">
        <v>1689</v>
      </c>
    </row>
    <row r="26" spans="1:6" ht="12.75">
      <c r="A26" s="4" t="s">
        <v>992</v>
      </c>
      <c r="B26" s="5" t="s">
        <v>418</v>
      </c>
      <c r="C26" s="2" t="s">
        <v>1431</v>
      </c>
      <c r="D26" s="3"/>
      <c r="E26" s="25">
        <v>0</v>
      </c>
      <c r="F26" s="25">
        <v>0</v>
      </c>
    </row>
    <row r="27" spans="1:6" ht="12.75">
      <c r="A27" s="6" t="s">
        <v>1691</v>
      </c>
      <c r="B27" s="5" t="s">
        <v>418</v>
      </c>
      <c r="C27" s="2" t="s">
        <v>1690</v>
      </c>
      <c r="D27" s="3"/>
      <c r="E27" s="25">
        <v>0</v>
      </c>
      <c r="F27" s="25">
        <v>0</v>
      </c>
    </row>
    <row r="28" spans="1:24" s="38" customFormat="1" ht="63.75">
      <c r="A28" s="34" t="s">
        <v>993</v>
      </c>
      <c r="B28" s="43" t="s">
        <v>418</v>
      </c>
      <c r="C28" s="36" t="s">
        <v>1432</v>
      </c>
      <c r="D28" s="35" t="s">
        <v>1976</v>
      </c>
      <c r="E28" s="37"/>
      <c r="F28" s="37" t="s">
        <v>1689</v>
      </c>
      <c r="H28" s="234"/>
      <c r="J28" s="47"/>
      <c r="S28" s="242"/>
      <c r="T28" s="242"/>
      <c r="U28" s="242"/>
      <c r="V28" s="242"/>
      <c r="W28" s="242"/>
      <c r="X28" s="242"/>
    </row>
    <row r="29" spans="1:24" s="33" customFormat="1" ht="51">
      <c r="A29" s="29" t="s">
        <v>994</v>
      </c>
      <c r="B29" s="42" t="s">
        <v>194</v>
      </c>
      <c r="C29" s="31" t="s">
        <v>1433</v>
      </c>
      <c r="D29" s="30" t="s">
        <v>1977</v>
      </c>
      <c r="E29" s="32">
        <v>2640</v>
      </c>
      <c r="F29" s="32">
        <v>2673</v>
      </c>
      <c r="H29" s="233"/>
      <c r="J29" s="46"/>
      <c r="S29" s="241"/>
      <c r="T29" s="241"/>
      <c r="U29" s="241"/>
      <c r="V29" s="241"/>
      <c r="W29" s="241"/>
      <c r="X29" s="241"/>
    </row>
    <row r="30" spans="1:24" s="38" customFormat="1" ht="38.25">
      <c r="A30" s="34" t="s">
        <v>995</v>
      </c>
      <c r="B30" s="43" t="s">
        <v>194</v>
      </c>
      <c r="C30" s="36" t="s">
        <v>1434</v>
      </c>
      <c r="D30" s="35" t="s">
        <v>1978</v>
      </c>
      <c r="E30" s="37">
        <v>1470</v>
      </c>
      <c r="F30" s="37">
        <v>1489</v>
      </c>
      <c r="H30" s="234"/>
      <c r="J30" s="47"/>
      <c r="S30" s="242"/>
      <c r="T30" s="242"/>
      <c r="U30" s="242"/>
      <c r="V30" s="242"/>
      <c r="W30" s="242"/>
      <c r="X30" s="242"/>
    </row>
    <row r="31" spans="1:24" s="13" customFormat="1" ht="12.75">
      <c r="A31" s="9" t="s">
        <v>996</v>
      </c>
      <c r="B31" s="15" t="s">
        <v>194</v>
      </c>
      <c r="C31" s="11" t="s">
        <v>1435</v>
      </c>
      <c r="D31" s="10" t="s">
        <v>1979</v>
      </c>
      <c r="E31" s="26">
        <v>0</v>
      </c>
      <c r="F31" s="26">
        <v>0</v>
      </c>
      <c r="G31" s="16" t="s">
        <v>2463</v>
      </c>
      <c r="H31" s="235">
        <v>8722.931743986594</v>
      </c>
      <c r="I31" s="13">
        <v>8999</v>
      </c>
      <c r="J31" s="45">
        <v>0.25</v>
      </c>
      <c r="K31" s="16" t="s">
        <v>2423</v>
      </c>
      <c r="L31" s="16" t="s">
        <v>2490</v>
      </c>
      <c r="M31" s="16" t="s">
        <v>2424</v>
      </c>
      <c r="N31" s="16" t="s">
        <v>2145</v>
      </c>
      <c r="R31" s="16" t="s">
        <v>2423</v>
      </c>
      <c r="S31" s="243">
        <f>219.49/50.5</f>
        <v>4.346336633663366</v>
      </c>
      <c r="T31" s="243">
        <v>0.01759</v>
      </c>
      <c r="U31" s="243">
        <f>12.5245/50.5</f>
        <v>0.248009900990099</v>
      </c>
      <c r="V31" s="243">
        <v>0.0016</v>
      </c>
      <c r="W31" s="243">
        <f>8438.3922/50.5</f>
        <v>167.09687524752476</v>
      </c>
      <c r="X31" s="243">
        <v>0.96736</v>
      </c>
    </row>
    <row r="32" spans="1:6" ht="25.5">
      <c r="A32" s="4" t="s">
        <v>997</v>
      </c>
      <c r="B32" s="5" t="s">
        <v>1436</v>
      </c>
      <c r="C32" s="2" t="s">
        <v>1437</v>
      </c>
      <c r="D32" s="3" t="s">
        <v>1980</v>
      </c>
      <c r="E32" s="25">
        <v>0</v>
      </c>
      <c r="F32" s="25">
        <v>0</v>
      </c>
    </row>
    <row r="33" spans="1:6" ht="25.5">
      <c r="A33" s="4" t="s">
        <v>1633</v>
      </c>
      <c r="B33" s="5" t="s">
        <v>198</v>
      </c>
      <c r="C33" s="2" t="s">
        <v>1438</v>
      </c>
      <c r="D33" s="3"/>
      <c r="E33" s="25">
        <v>0</v>
      </c>
      <c r="F33" s="25">
        <v>0</v>
      </c>
    </row>
    <row r="34" spans="1:6" ht="25.5">
      <c r="A34" s="4" t="s">
        <v>1634</v>
      </c>
      <c r="B34" s="5" t="s">
        <v>418</v>
      </c>
      <c r="C34" s="2" t="s">
        <v>1439</v>
      </c>
      <c r="D34" s="3"/>
      <c r="E34" s="25" t="s">
        <v>1689</v>
      </c>
      <c r="F34" s="25" t="s">
        <v>1689</v>
      </c>
    </row>
    <row r="35" spans="1:6" ht="38.25">
      <c r="A35" s="4" t="s">
        <v>1635</v>
      </c>
      <c r="B35" s="5" t="s">
        <v>418</v>
      </c>
      <c r="C35" s="2" t="s">
        <v>1440</v>
      </c>
      <c r="D35" s="3"/>
      <c r="E35" s="25">
        <v>0</v>
      </c>
      <c r="F35" s="25">
        <v>0</v>
      </c>
    </row>
    <row r="36" spans="1:6" ht="12.75">
      <c r="A36" s="4" t="s">
        <v>998</v>
      </c>
      <c r="B36" s="5" t="s">
        <v>418</v>
      </c>
      <c r="C36" s="2" t="s">
        <v>1441</v>
      </c>
      <c r="D36" s="3" t="s">
        <v>1981</v>
      </c>
      <c r="E36" s="25">
        <v>0</v>
      </c>
      <c r="F36" s="25">
        <v>0</v>
      </c>
    </row>
    <row r="37" spans="1:6" ht="25.5">
      <c r="A37" s="4" t="s">
        <v>999</v>
      </c>
      <c r="B37" s="5" t="s">
        <v>418</v>
      </c>
      <c r="C37" s="2" t="s">
        <v>1442</v>
      </c>
      <c r="D37" s="3" t="s">
        <v>1982</v>
      </c>
      <c r="E37" s="25" t="s">
        <v>1689</v>
      </c>
      <c r="F37" s="25" t="s">
        <v>1689</v>
      </c>
    </row>
    <row r="38" spans="1:6" ht="25.5">
      <c r="A38" s="4" t="s">
        <v>1636</v>
      </c>
      <c r="B38" s="5" t="s">
        <v>418</v>
      </c>
      <c r="C38" s="2" t="s">
        <v>1443</v>
      </c>
      <c r="D38" s="3"/>
      <c r="E38" s="25" t="s">
        <v>1689</v>
      </c>
      <c r="F38" s="25" t="s">
        <v>1689</v>
      </c>
    </row>
    <row r="39" spans="1:6" ht="25.5">
      <c r="A39" s="4" t="s">
        <v>1637</v>
      </c>
      <c r="B39" s="5" t="s">
        <v>418</v>
      </c>
      <c r="C39" s="2" t="s">
        <v>1444</v>
      </c>
      <c r="D39" s="3"/>
      <c r="E39" s="25" t="s">
        <v>1689</v>
      </c>
      <c r="F39" s="25" t="s">
        <v>1689</v>
      </c>
    </row>
    <row r="40" spans="1:6" ht="25.5">
      <c r="A40" s="4" t="s">
        <v>1638</v>
      </c>
      <c r="B40" s="5" t="s">
        <v>418</v>
      </c>
      <c r="C40" s="2" t="s">
        <v>1445</v>
      </c>
      <c r="D40" s="3"/>
      <c r="E40" s="25">
        <v>0</v>
      </c>
      <c r="F40" s="25">
        <v>0</v>
      </c>
    </row>
    <row r="41" spans="1:6" ht="12.75">
      <c r="A41" s="4" t="s">
        <v>1000</v>
      </c>
      <c r="B41" s="5" t="s">
        <v>418</v>
      </c>
      <c r="C41" s="2" t="s">
        <v>1446</v>
      </c>
      <c r="D41" s="3" t="s">
        <v>1983</v>
      </c>
      <c r="E41" s="25" t="s">
        <v>1689</v>
      </c>
      <c r="F41" s="25" t="s">
        <v>1689</v>
      </c>
    </row>
    <row r="42" spans="1:24" s="38" customFormat="1" ht="51">
      <c r="A42" s="34" t="s">
        <v>1001</v>
      </c>
      <c r="B42" s="43" t="s">
        <v>418</v>
      </c>
      <c r="C42" s="36" t="s">
        <v>1447</v>
      </c>
      <c r="D42" s="35" t="s">
        <v>1985</v>
      </c>
      <c r="E42" s="37">
        <v>400</v>
      </c>
      <c r="F42" s="37">
        <v>405</v>
      </c>
      <c r="H42" s="234"/>
      <c r="J42" s="47"/>
      <c r="S42" s="242"/>
      <c r="T42" s="242"/>
      <c r="U42" s="242"/>
      <c r="V42" s="242"/>
      <c r="W42" s="242"/>
      <c r="X42" s="242"/>
    </row>
    <row r="43" spans="1:24" s="13" customFormat="1" ht="12.75">
      <c r="A43" s="9" t="s">
        <v>1002</v>
      </c>
      <c r="B43" s="15" t="s">
        <v>418</v>
      </c>
      <c r="C43" s="11" t="s">
        <v>1448</v>
      </c>
      <c r="D43" s="10" t="s">
        <v>1984</v>
      </c>
      <c r="E43" s="26">
        <v>400</v>
      </c>
      <c r="F43" s="26">
        <v>405</v>
      </c>
      <c r="G43" s="16" t="s">
        <v>2426</v>
      </c>
      <c r="H43" s="235">
        <v>173.50869898584293</v>
      </c>
      <c r="I43" s="13">
        <v>179</v>
      </c>
      <c r="J43" s="45">
        <v>0.25</v>
      </c>
      <c r="K43" s="16" t="s">
        <v>2226</v>
      </c>
      <c r="L43" s="16" t="s">
        <v>2427</v>
      </c>
      <c r="M43" s="16" t="s">
        <v>2428</v>
      </c>
      <c r="N43" s="16" t="s">
        <v>2145</v>
      </c>
      <c r="O43" s="16" t="s">
        <v>2429</v>
      </c>
      <c r="P43" s="16" t="s">
        <v>2430</v>
      </c>
      <c r="R43" s="16">
        <f>0.145+0.042+0.032</f>
        <v>0.219</v>
      </c>
      <c r="S43" s="243">
        <f>2.1895/0.145</f>
        <v>15.1</v>
      </c>
      <c r="T43" s="243">
        <v>0.01262</v>
      </c>
      <c r="U43" s="243">
        <f>0.5304/0.145</f>
        <v>3.657931034482759</v>
      </c>
      <c r="V43" s="243">
        <v>0.00306</v>
      </c>
      <c r="W43" s="243">
        <f>258.606/0.145</f>
        <v>1783.489655172414</v>
      </c>
      <c r="X43" s="243">
        <v>1.49044</v>
      </c>
    </row>
    <row r="44" spans="1:6" ht="38.25">
      <c r="A44" s="4" t="s">
        <v>1003</v>
      </c>
      <c r="B44" s="5" t="s">
        <v>418</v>
      </c>
      <c r="C44" s="2" t="s">
        <v>1449</v>
      </c>
      <c r="D44" s="3" t="s">
        <v>1986</v>
      </c>
      <c r="E44" s="25">
        <v>0</v>
      </c>
      <c r="F44" s="25">
        <v>0</v>
      </c>
    </row>
    <row r="45" spans="1:24" s="38" customFormat="1" ht="38.25">
      <c r="A45" s="34" t="s">
        <v>1004</v>
      </c>
      <c r="B45" s="43" t="s">
        <v>418</v>
      </c>
      <c r="C45" s="36" t="s">
        <v>1450</v>
      </c>
      <c r="D45" s="35" t="s">
        <v>1987</v>
      </c>
      <c r="E45" s="37" t="s">
        <v>1689</v>
      </c>
      <c r="F45" s="37" t="s">
        <v>1689</v>
      </c>
      <c r="H45" s="234"/>
      <c r="J45" s="47"/>
      <c r="S45" s="242"/>
      <c r="T45" s="242"/>
      <c r="U45" s="242"/>
      <c r="V45" s="242"/>
      <c r="W45" s="242"/>
      <c r="X45" s="242"/>
    </row>
    <row r="46" spans="1:24" s="33" customFormat="1" ht="38.25">
      <c r="A46" s="29" t="s">
        <v>1005</v>
      </c>
      <c r="B46" s="42" t="s">
        <v>418</v>
      </c>
      <c r="C46" s="31" t="s">
        <v>1451</v>
      </c>
      <c r="D46" s="30" t="s">
        <v>1988</v>
      </c>
      <c r="E46" s="32">
        <v>6970</v>
      </c>
      <c r="F46" s="32">
        <v>7103</v>
      </c>
      <c r="H46" s="233"/>
      <c r="J46" s="46"/>
      <c r="S46" s="241"/>
      <c r="T46" s="241"/>
      <c r="U46" s="241"/>
      <c r="V46" s="241"/>
      <c r="W46" s="241"/>
      <c r="X46" s="241"/>
    </row>
    <row r="47" spans="1:24" s="38" customFormat="1" ht="25.5">
      <c r="A47" s="34" t="s">
        <v>1006</v>
      </c>
      <c r="B47" s="43" t="s">
        <v>194</v>
      </c>
      <c r="C47" s="36" t="s">
        <v>319</v>
      </c>
      <c r="D47" s="35" t="s">
        <v>1989</v>
      </c>
      <c r="E47" s="37">
        <v>1070</v>
      </c>
      <c r="F47" s="37">
        <v>1090</v>
      </c>
      <c r="H47" s="234"/>
      <c r="J47" s="47"/>
      <c r="S47" s="242"/>
      <c r="T47" s="242"/>
      <c r="U47" s="242"/>
      <c r="V47" s="242"/>
      <c r="W47" s="242"/>
      <c r="X47" s="242"/>
    </row>
    <row r="48" spans="1:24" s="13" customFormat="1" ht="38.25">
      <c r="A48" s="9" t="s">
        <v>1007</v>
      </c>
      <c r="B48" s="15" t="s">
        <v>198</v>
      </c>
      <c r="C48" s="11" t="s">
        <v>320</v>
      </c>
      <c r="D48" s="10" t="s">
        <v>2456</v>
      </c>
      <c r="E48" s="26">
        <v>140</v>
      </c>
      <c r="F48" s="26">
        <v>143</v>
      </c>
      <c r="G48" s="16" t="s">
        <v>2440</v>
      </c>
      <c r="H48" s="235">
        <v>589.9036207601144</v>
      </c>
      <c r="I48" s="13">
        <v>599</v>
      </c>
      <c r="J48" s="45">
        <v>0.25</v>
      </c>
      <c r="K48" s="16" t="s">
        <v>2344</v>
      </c>
      <c r="L48" s="16" t="s">
        <v>2345</v>
      </c>
      <c r="M48" s="16" t="s">
        <v>2351</v>
      </c>
      <c r="N48" s="16" t="s">
        <v>2099</v>
      </c>
      <c r="O48" s="16" t="s">
        <v>2348</v>
      </c>
      <c r="P48" s="16" t="s">
        <v>2349</v>
      </c>
      <c r="Q48" s="16"/>
      <c r="R48" s="16" t="s">
        <v>2352</v>
      </c>
      <c r="S48" s="243">
        <f>6.4357/0.017</f>
        <v>378.57058823529405</v>
      </c>
      <c r="T48" s="243">
        <v>0.01091</v>
      </c>
      <c r="U48" s="243">
        <f>9.7761/0.017</f>
        <v>575.0647058823529</v>
      </c>
      <c r="V48" s="243">
        <v>0.00132</v>
      </c>
      <c r="W48" s="243">
        <f>108.1737/0.017</f>
        <v>6363.158823529411</v>
      </c>
      <c r="X48" s="243">
        <v>0.1749</v>
      </c>
    </row>
    <row r="49" spans="1:24" s="13" customFormat="1" ht="12.75">
      <c r="A49" s="9" t="s">
        <v>1008</v>
      </c>
      <c r="B49" s="15" t="s">
        <v>418</v>
      </c>
      <c r="C49" s="11" t="s">
        <v>321</v>
      </c>
      <c r="D49" s="10" t="s">
        <v>2458</v>
      </c>
      <c r="E49" s="26">
        <v>930</v>
      </c>
      <c r="F49" s="26">
        <v>948</v>
      </c>
      <c r="G49" s="16" t="s">
        <v>2457</v>
      </c>
      <c r="H49" s="235">
        <v>194.99318348998773</v>
      </c>
      <c r="I49" s="13">
        <v>198</v>
      </c>
      <c r="J49" s="45">
        <v>0.25</v>
      </c>
      <c r="K49" s="16" t="s">
        <v>2381</v>
      </c>
      <c r="L49" s="16" t="s">
        <v>2231</v>
      </c>
      <c r="M49" s="16" t="s">
        <v>2382</v>
      </c>
      <c r="N49" s="16" t="s">
        <v>2145</v>
      </c>
      <c r="R49" s="16" t="s">
        <v>2381</v>
      </c>
      <c r="S49" s="243">
        <f>3.3621/0.105</f>
        <v>32.02</v>
      </c>
      <c r="T49" s="243">
        <v>0.01724</v>
      </c>
      <c r="U49" s="243">
        <f>0.1142/0.105</f>
        <v>1.0876190476190477</v>
      </c>
      <c r="V49" s="243">
        <v>0.00059</v>
      </c>
      <c r="W49" s="243">
        <f>121.8835/0.105</f>
        <v>1160.7952380952381</v>
      </c>
      <c r="X49" s="243">
        <f>0.62508</f>
        <v>0.62508</v>
      </c>
    </row>
    <row r="50" spans="1:24" s="38" customFormat="1" ht="38.25">
      <c r="A50" s="34" t="s">
        <v>1009</v>
      </c>
      <c r="B50" s="43" t="s">
        <v>418</v>
      </c>
      <c r="C50" s="36" t="s">
        <v>322</v>
      </c>
      <c r="D50" s="35" t="s">
        <v>1990</v>
      </c>
      <c r="E50" s="37">
        <v>2050</v>
      </c>
      <c r="F50" s="37">
        <v>2089</v>
      </c>
      <c r="H50" s="234"/>
      <c r="J50" s="47"/>
      <c r="S50" s="242"/>
      <c r="T50" s="242"/>
      <c r="U50" s="242"/>
      <c r="V50" s="242"/>
      <c r="W50" s="242"/>
      <c r="X50" s="242"/>
    </row>
    <row r="51" spans="1:24" s="13" customFormat="1" ht="38.25">
      <c r="A51" s="9" t="s">
        <v>1010</v>
      </c>
      <c r="B51" s="15" t="s">
        <v>418</v>
      </c>
      <c r="C51" s="11" t="s">
        <v>323</v>
      </c>
      <c r="D51" s="10" t="s">
        <v>2459</v>
      </c>
      <c r="E51" s="26">
        <v>270</v>
      </c>
      <c r="F51" s="26">
        <v>275</v>
      </c>
      <c r="G51" s="16" t="s">
        <v>2491</v>
      </c>
      <c r="H51" s="235" t="e">
        <v>#REF!</v>
      </c>
      <c r="I51" s="13">
        <v>707.444</v>
      </c>
      <c r="J51" s="45">
        <v>0.25</v>
      </c>
      <c r="K51" s="16">
        <v>0.33</v>
      </c>
      <c r="L51" s="16" t="s">
        <v>2341</v>
      </c>
      <c r="M51" s="16" t="s">
        <v>2602</v>
      </c>
      <c r="N51" s="16" t="s">
        <v>2145</v>
      </c>
      <c r="O51" s="16" t="s">
        <v>2399</v>
      </c>
      <c r="P51" s="16" t="s">
        <v>2342</v>
      </c>
      <c r="R51" s="16">
        <f>0.33+0.12+0.0157</f>
        <v>0.4657</v>
      </c>
      <c r="S51" s="243">
        <f>9.9763/0.33</f>
        <v>30.23121212121212</v>
      </c>
      <c r="T51" s="243">
        <v>0.01389</v>
      </c>
      <c r="U51" s="243">
        <f>2.0787/0.33</f>
        <v>6.299090909090909</v>
      </c>
      <c r="V51" s="243">
        <v>0.00289</v>
      </c>
      <c r="W51" s="243">
        <f>1804.8799/0.33</f>
        <v>5469.33303030303</v>
      </c>
      <c r="X51" s="243">
        <v>2.51359</v>
      </c>
    </row>
    <row r="52" spans="1:6" ht="38.25">
      <c r="A52" s="4" t="s">
        <v>1011</v>
      </c>
      <c r="B52" s="5" t="s">
        <v>418</v>
      </c>
      <c r="C52" s="2" t="s">
        <v>324</v>
      </c>
      <c r="D52" s="3"/>
      <c r="E52" s="25" t="s">
        <v>1689</v>
      </c>
      <c r="F52" s="25" t="s">
        <v>1689</v>
      </c>
    </row>
    <row r="53" spans="1:24" s="13" customFormat="1" ht="25.5">
      <c r="A53" s="9" t="s">
        <v>1012</v>
      </c>
      <c r="B53" s="15" t="s">
        <v>325</v>
      </c>
      <c r="C53" s="11" t="s">
        <v>326</v>
      </c>
      <c r="D53" s="10" t="s">
        <v>2461</v>
      </c>
      <c r="E53" s="26">
        <v>1140</v>
      </c>
      <c r="F53" s="26">
        <v>1162</v>
      </c>
      <c r="G53" s="16" t="s">
        <v>2462</v>
      </c>
      <c r="H53" s="235">
        <v>975.8522501021661</v>
      </c>
      <c r="I53" s="13">
        <v>990.9</v>
      </c>
      <c r="J53" s="45">
        <v>0.25</v>
      </c>
      <c r="K53" s="16" t="s">
        <v>2367</v>
      </c>
      <c r="L53" s="16" t="s">
        <v>2368</v>
      </c>
      <c r="M53" s="16" t="s">
        <v>2369</v>
      </c>
      <c r="N53" s="16" t="s">
        <v>2145</v>
      </c>
      <c r="O53" s="16" t="s">
        <v>2370</v>
      </c>
      <c r="P53" s="16" t="s">
        <v>2371</v>
      </c>
      <c r="R53" s="16" t="s">
        <v>2372</v>
      </c>
      <c r="S53" s="243">
        <f>11.625/0.724</f>
        <v>16.056629834254146</v>
      </c>
      <c r="T53" s="243">
        <v>0.01191</v>
      </c>
      <c r="U53" s="243">
        <f>2.168/0.724</f>
        <v>2.994475138121547</v>
      </c>
      <c r="V53" s="243">
        <v>0.00222</v>
      </c>
      <c r="W53" s="243">
        <f>1122.6854/0.724</f>
        <v>1550.6704419889504</v>
      </c>
      <c r="X53" s="243">
        <v>1.15149</v>
      </c>
    </row>
    <row r="54" spans="1:24" s="13" customFormat="1" ht="12.75">
      <c r="A54" s="9" t="s">
        <v>1013</v>
      </c>
      <c r="B54" s="15" t="s">
        <v>418</v>
      </c>
      <c r="C54" s="11" t="s">
        <v>327</v>
      </c>
      <c r="D54" s="10" t="s">
        <v>2460</v>
      </c>
      <c r="E54" s="26">
        <v>170</v>
      </c>
      <c r="F54" s="26">
        <v>173</v>
      </c>
      <c r="G54" s="16" t="s">
        <v>2362</v>
      </c>
      <c r="H54" s="235">
        <v>58.99036207601145</v>
      </c>
      <c r="I54" s="13">
        <v>59.9</v>
      </c>
      <c r="J54" s="45">
        <v>0.25</v>
      </c>
      <c r="K54" s="16" t="s">
        <v>2364</v>
      </c>
      <c r="L54" s="16" t="s">
        <v>2363</v>
      </c>
      <c r="M54" s="16" t="s">
        <v>2366</v>
      </c>
      <c r="N54" s="16" t="s">
        <v>2145</v>
      </c>
      <c r="O54" s="16" t="s">
        <v>1715</v>
      </c>
      <c r="P54" s="16" t="s">
        <v>2365</v>
      </c>
      <c r="R54" s="16" t="s">
        <v>2352</v>
      </c>
      <c r="S54" s="243">
        <f>0.801/0.075</f>
        <v>10.680000000000001</v>
      </c>
      <c r="T54" s="243">
        <v>0.01358</v>
      </c>
      <c r="U54" s="243">
        <f>0.0033/0.075</f>
        <v>0.044000000000000004</v>
      </c>
      <c r="V54" s="243">
        <f>0.00006</f>
        <v>6E-05</v>
      </c>
      <c r="W54" s="243">
        <f>7.7557/0.075</f>
        <v>103.40933333333334</v>
      </c>
      <c r="X54" s="243">
        <v>0.13146</v>
      </c>
    </row>
    <row r="55" spans="1:6" ht="38.25">
      <c r="A55" s="4" t="s">
        <v>1014</v>
      </c>
      <c r="B55" s="5" t="s">
        <v>418</v>
      </c>
      <c r="C55" s="2" t="s">
        <v>328</v>
      </c>
      <c r="D55" s="3"/>
      <c r="E55" s="25" t="s">
        <v>1689</v>
      </c>
      <c r="F55" s="25" t="s">
        <v>1689</v>
      </c>
    </row>
    <row r="56" spans="1:6" ht="12.75">
      <c r="A56" s="4" t="s">
        <v>1015</v>
      </c>
      <c r="B56" s="5" t="s">
        <v>418</v>
      </c>
      <c r="C56" s="2" t="s">
        <v>329</v>
      </c>
      <c r="D56" s="3"/>
      <c r="E56" s="25" t="s">
        <v>1689</v>
      </c>
      <c r="F56" s="25" t="s">
        <v>1689</v>
      </c>
    </row>
    <row r="57" spans="1:24" s="13" customFormat="1" ht="12.75">
      <c r="A57" s="9" t="s">
        <v>1016</v>
      </c>
      <c r="B57" s="15" t="s">
        <v>418</v>
      </c>
      <c r="C57" s="11" t="s">
        <v>330</v>
      </c>
      <c r="D57" s="10" t="s">
        <v>2334</v>
      </c>
      <c r="E57" s="26">
        <v>130</v>
      </c>
      <c r="F57" s="26">
        <v>132</v>
      </c>
      <c r="G57" s="16" t="s">
        <v>2379</v>
      </c>
      <c r="H57" s="235">
        <v>97.49659174499386</v>
      </c>
      <c r="I57" s="13">
        <v>99</v>
      </c>
      <c r="J57" s="45">
        <v>0.25</v>
      </c>
      <c r="K57" s="16" t="s">
        <v>2239</v>
      </c>
      <c r="L57" s="16" t="s">
        <v>2343</v>
      </c>
      <c r="M57" s="16" t="s">
        <v>2380</v>
      </c>
      <c r="N57" s="16" t="s">
        <v>1751</v>
      </c>
      <c r="O57" s="16" t="s">
        <v>1721</v>
      </c>
      <c r="P57" s="16" t="s">
        <v>2431</v>
      </c>
      <c r="R57" s="16" t="s">
        <v>2432</v>
      </c>
      <c r="S57" s="243">
        <f>-1.5926/5</f>
        <v>-0.31852</v>
      </c>
      <c r="T57" s="243">
        <v>-0.01633</v>
      </c>
      <c r="U57" s="243">
        <f>1.0319/5</f>
        <v>0.20638</v>
      </c>
      <c r="V57" s="243">
        <v>0.01058</v>
      </c>
      <c r="W57" s="243">
        <f>1381.4629/5</f>
        <v>276.29258</v>
      </c>
      <c r="X57" s="243">
        <v>14.16885</v>
      </c>
    </row>
    <row r="58" spans="1:24" s="38" customFormat="1" ht="25.5">
      <c r="A58" s="34" t="s">
        <v>1017</v>
      </c>
      <c r="B58" s="43" t="s">
        <v>418</v>
      </c>
      <c r="C58" s="36" t="s">
        <v>1639</v>
      </c>
      <c r="D58" s="35" t="s">
        <v>1991</v>
      </c>
      <c r="E58" s="37">
        <v>1740</v>
      </c>
      <c r="F58" s="37">
        <v>1773</v>
      </c>
      <c r="H58" s="234"/>
      <c r="J58" s="47"/>
      <c r="S58" s="242"/>
      <c r="T58" s="242"/>
      <c r="U58" s="242"/>
      <c r="V58" s="242"/>
      <c r="W58" s="242"/>
      <c r="X58" s="242"/>
    </row>
    <row r="59" spans="1:24" s="38" customFormat="1" ht="25.5">
      <c r="A59" s="34" t="s">
        <v>1018</v>
      </c>
      <c r="B59" s="43" t="s">
        <v>418</v>
      </c>
      <c r="C59" s="36" t="s">
        <v>331</v>
      </c>
      <c r="D59" s="35" t="s">
        <v>1992</v>
      </c>
      <c r="E59" s="37">
        <v>1440</v>
      </c>
      <c r="F59" s="37">
        <v>1467</v>
      </c>
      <c r="H59" s="234"/>
      <c r="J59" s="47"/>
      <c r="S59" s="242"/>
      <c r="T59" s="242"/>
      <c r="U59" s="242"/>
      <c r="V59" s="242"/>
      <c r="W59" s="242"/>
      <c r="X59" s="242"/>
    </row>
    <row r="60" spans="1:6" ht="12.75">
      <c r="A60" s="4" t="s">
        <v>1019</v>
      </c>
      <c r="B60" s="5" t="s">
        <v>418</v>
      </c>
      <c r="C60" s="2" t="s">
        <v>332</v>
      </c>
      <c r="D60" s="3"/>
      <c r="E60" s="25" t="s">
        <v>1689</v>
      </c>
      <c r="F60" s="25" t="s">
        <v>1689</v>
      </c>
    </row>
    <row r="61" spans="1:24" s="13" customFormat="1" ht="12.75">
      <c r="A61" s="9" t="s">
        <v>1020</v>
      </c>
      <c r="B61" s="15" t="s">
        <v>418</v>
      </c>
      <c r="C61" s="11" t="s">
        <v>333</v>
      </c>
      <c r="D61" s="10" t="s">
        <v>1993</v>
      </c>
      <c r="E61" s="26">
        <v>1380</v>
      </c>
      <c r="F61" s="26">
        <v>1406</v>
      </c>
      <c r="G61" s="16" t="s">
        <v>2358</v>
      </c>
      <c r="H61" s="235">
        <v>363.396387413159</v>
      </c>
      <c r="I61" s="13">
        <v>369</v>
      </c>
      <c r="J61" s="45">
        <v>0.25</v>
      </c>
      <c r="K61" s="16" t="s">
        <v>2360</v>
      </c>
      <c r="L61" s="16" t="s">
        <v>2359</v>
      </c>
      <c r="M61" s="16" t="s">
        <v>2361</v>
      </c>
      <c r="N61" s="16" t="s">
        <v>2268</v>
      </c>
      <c r="R61" s="16" t="s">
        <v>2360</v>
      </c>
      <c r="S61" s="243">
        <f>1.8505/0.115</f>
        <v>16.091304347826085</v>
      </c>
      <c r="T61" s="243">
        <v>0.00509</v>
      </c>
      <c r="U61" s="243">
        <f>0.0786/0.115</f>
        <v>0.6834782608695652</v>
      </c>
      <c r="V61" s="243">
        <v>0.00022</v>
      </c>
      <c r="W61" s="243">
        <f>21.9765/0.115</f>
        <v>191.1</v>
      </c>
      <c r="X61" s="243">
        <v>0.06048</v>
      </c>
    </row>
    <row r="62" spans="1:24" s="38" customFormat="1" ht="38.25">
      <c r="A62" s="34" t="s">
        <v>1021</v>
      </c>
      <c r="B62" s="43" t="s">
        <v>418</v>
      </c>
      <c r="C62" s="36" t="s">
        <v>334</v>
      </c>
      <c r="D62" s="35"/>
      <c r="E62" s="37">
        <v>660</v>
      </c>
      <c r="F62" s="37">
        <v>673</v>
      </c>
      <c r="H62" s="234"/>
      <c r="J62" s="47"/>
      <c r="S62" s="242"/>
      <c r="T62" s="242"/>
      <c r="U62" s="242"/>
      <c r="V62" s="242"/>
      <c r="W62" s="242"/>
      <c r="X62" s="242"/>
    </row>
    <row r="63" spans="1:6" ht="25.5">
      <c r="A63" s="4" t="s">
        <v>1022</v>
      </c>
      <c r="B63" s="5" t="s">
        <v>418</v>
      </c>
      <c r="C63" s="2" t="s">
        <v>335</v>
      </c>
      <c r="D63" s="3"/>
      <c r="E63" s="25" t="s">
        <v>1689</v>
      </c>
      <c r="F63" s="25" t="s">
        <v>1689</v>
      </c>
    </row>
    <row r="64" spans="1:24" s="13" customFormat="1" ht="12.75">
      <c r="A64" s="9" t="s">
        <v>1023</v>
      </c>
      <c r="B64" s="15" t="s">
        <v>418</v>
      </c>
      <c r="C64" s="11" t="s">
        <v>336</v>
      </c>
      <c r="D64" s="16" t="s">
        <v>2603</v>
      </c>
      <c r="E64" s="26">
        <v>520</v>
      </c>
      <c r="F64" s="26">
        <v>530</v>
      </c>
      <c r="G64" s="16" t="s">
        <v>2595</v>
      </c>
      <c r="H64" s="235" t="s">
        <v>413</v>
      </c>
      <c r="J64" s="45">
        <v>0.25</v>
      </c>
      <c r="K64" s="13" t="s">
        <v>413</v>
      </c>
      <c r="L64" s="13" t="s">
        <v>413</v>
      </c>
      <c r="M64" s="13" t="s">
        <v>413</v>
      </c>
      <c r="N64" s="13" t="s">
        <v>413</v>
      </c>
      <c r="O64" s="13" t="s">
        <v>413</v>
      </c>
      <c r="P64" s="13" t="s">
        <v>413</v>
      </c>
      <c r="Q64" s="13" t="s">
        <v>413</v>
      </c>
      <c r="R64" s="13" t="s">
        <v>413</v>
      </c>
      <c r="S64" s="243" t="s">
        <v>413</v>
      </c>
      <c r="T64" s="243">
        <v>0.01058</v>
      </c>
      <c r="U64" s="243" t="s">
        <v>413</v>
      </c>
      <c r="V64" s="243">
        <v>0.00143</v>
      </c>
      <c r="W64" s="243" t="s">
        <v>413</v>
      </c>
      <c r="X64" s="243">
        <v>0.00204</v>
      </c>
    </row>
    <row r="65" spans="1:24" s="33" customFormat="1" ht="25.5">
      <c r="A65" s="29" t="s">
        <v>1024</v>
      </c>
      <c r="B65" s="42" t="s">
        <v>1436</v>
      </c>
      <c r="C65" s="31" t="s">
        <v>337</v>
      </c>
      <c r="D65" s="30" t="s">
        <v>1994</v>
      </c>
      <c r="E65" s="32">
        <v>9840</v>
      </c>
      <c r="F65" s="32">
        <v>10195</v>
      </c>
      <c r="H65" s="233"/>
      <c r="J65" s="46"/>
      <c r="S65" s="241"/>
      <c r="T65" s="241"/>
      <c r="U65" s="241"/>
      <c r="V65" s="241"/>
      <c r="W65" s="241"/>
      <c r="X65" s="241"/>
    </row>
    <row r="66" spans="1:24" s="38" customFormat="1" ht="25.5">
      <c r="A66" s="34" t="s">
        <v>1025</v>
      </c>
      <c r="B66" s="43" t="s">
        <v>418</v>
      </c>
      <c r="C66" s="36" t="s">
        <v>338</v>
      </c>
      <c r="D66" s="35" t="s">
        <v>1996</v>
      </c>
      <c r="E66" s="37">
        <v>3200</v>
      </c>
      <c r="F66" s="37">
        <v>3315</v>
      </c>
      <c r="H66" s="234"/>
      <c r="J66" s="47"/>
      <c r="S66" s="242"/>
      <c r="T66" s="242"/>
      <c r="U66" s="242"/>
      <c r="V66" s="242"/>
      <c r="W66" s="242"/>
      <c r="X66" s="242"/>
    </row>
    <row r="67" spans="1:24" s="71" customFormat="1" ht="38.25">
      <c r="A67" s="65" t="s">
        <v>1026</v>
      </c>
      <c r="B67" s="66" t="s">
        <v>418</v>
      </c>
      <c r="C67" s="67" t="s">
        <v>339</v>
      </c>
      <c r="D67" s="68"/>
      <c r="E67" s="69">
        <v>200</v>
      </c>
      <c r="F67" s="69">
        <v>207</v>
      </c>
      <c r="G67" s="70"/>
      <c r="H67" s="237"/>
      <c r="J67" s="72"/>
      <c r="S67" s="246"/>
      <c r="T67" s="246"/>
      <c r="U67" s="246"/>
      <c r="V67" s="246"/>
      <c r="W67" s="246"/>
      <c r="X67" s="246"/>
    </row>
    <row r="68" spans="1:24" s="13" customFormat="1" ht="25.5">
      <c r="A68" s="9" t="s">
        <v>1027</v>
      </c>
      <c r="B68" s="15" t="s">
        <v>418</v>
      </c>
      <c r="C68" s="11" t="s">
        <v>340</v>
      </c>
      <c r="D68" s="10" t="s">
        <v>1995</v>
      </c>
      <c r="E68" s="26">
        <v>2430</v>
      </c>
      <c r="F68" s="26">
        <v>2518</v>
      </c>
      <c r="G68" s="16" t="s">
        <v>2595</v>
      </c>
      <c r="H68" s="235" t="s">
        <v>413</v>
      </c>
      <c r="I68" s="13" t="s">
        <v>413</v>
      </c>
      <c r="J68" s="45">
        <v>0.06</v>
      </c>
      <c r="K68" s="13" t="s">
        <v>413</v>
      </c>
      <c r="L68" s="13" t="s">
        <v>413</v>
      </c>
      <c r="M68" s="13" t="s">
        <v>413</v>
      </c>
      <c r="N68" s="13" t="s">
        <v>413</v>
      </c>
      <c r="O68" s="13" t="s">
        <v>413</v>
      </c>
      <c r="P68" s="13" t="s">
        <v>413</v>
      </c>
      <c r="Q68" s="13" t="s">
        <v>413</v>
      </c>
      <c r="R68" s="13" t="s">
        <v>413</v>
      </c>
      <c r="S68" s="243" t="s">
        <v>413</v>
      </c>
      <c r="T68" s="243">
        <v>0.02034</v>
      </c>
      <c r="U68" s="243" t="s">
        <v>413</v>
      </c>
      <c r="V68" s="243">
        <v>0.00421</v>
      </c>
      <c r="W68" s="243" t="s">
        <v>413</v>
      </c>
      <c r="X68" s="243">
        <v>0.00588</v>
      </c>
    </row>
    <row r="69" spans="1:6" ht="38.25">
      <c r="A69" s="4" t="s">
        <v>1028</v>
      </c>
      <c r="B69" s="5" t="s">
        <v>418</v>
      </c>
      <c r="C69" s="2" t="s">
        <v>341</v>
      </c>
      <c r="D69" s="3"/>
      <c r="E69" s="25" t="s">
        <v>1689</v>
      </c>
      <c r="F69" s="25" t="s">
        <v>1689</v>
      </c>
    </row>
    <row r="70" spans="1:6" ht="38.25">
      <c r="A70" s="4" t="s">
        <v>1029</v>
      </c>
      <c r="B70" s="5" t="s">
        <v>418</v>
      </c>
      <c r="C70" s="2" t="s">
        <v>342</v>
      </c>
      <c r="D70" s="3"/>
      <c r="E70" s="25">
        <v>410</v>
      </c>
      <c r="F70" s="25">
        <v>425</v>
      </c>
    </row>
    <row r="71" spans="1:24" s="38" customFormat="1" ht="12.75">
      <c r="A71" s="34" t="s">
        <v>1030</v>
      </c>
      <c r="B71" s="43" t="s">
        <v>418</v>
      </c>
      <c r="C71" s="36" t="s">
        <v>343</v>
      </c>
      <c r="D71" s="35" t="s">
        <v>1997</v>
      </c>
      <c r="E71" s="37">
        <v>5160</v>
      </c>
      <c r="F71" s="37">
        <v>5346</v>
      </c>
      <c r="H71" s="234"/>
      <c r="J71" s="47"/>
      <c r="S71" s="242"/>
      <c r="T71" s="242"/>
      <c r="U71" s="242"/>
      <c r="V71" s="242"/>
      <c r="W71" s="242"/>
      <c r="X71" s="242"/>
    </row>
    <row r="72" spans="1:24" s="13" customFormat="1" ht="25.5">
      <c r="A72" s="9" t="s">
        <v>1031</v>
      </c>
      <c r="B72" s="15" t="s">
        <v>418</v>
      </c>
      <c r="C72" s="11" t="s">
        <v>344</v>
      </c>
      <c r="D72" s="10" t="s">
        <v>1998</v>
      </c>
      <c r="E72" s="26">
        <v>1160</v>
      </c>
      <c r="F72" s="26">
        <v>1202</v>
      </c>
      <c r="G72" s="16" t="s">
        <v>2595</v>
      </c>
      <c r="H72" s="235" t="s">
        <v>413</v>
      </c>
      <c r="I72" s="13" t="s">
        <v>413</v>
      </c>
      <c r="J72" s="73">
        <f>(25+6)/2</f>
        <v>15.5</v>
      </c>
      <c r="K72" s="16" t="s">
        <v>413</v>
      </c>
      <c r="L72" s="16" t="s">
        <v>413</v>
      </c>
      <c r="M72" s="16" t="s">
        <v>413</v>
      </c>
      <c r="N72" s="16" t="s">
        <v>413</v>
      </c>
      <c r="O72" s="16" t="s">
        <v>413</v>
      </c>
      <c r="P72" s="16" t="s">
        <v>413</v>
      </c>
      <c r="Q72" s="16" t="s">
        <v>413</v>
      </c>
      <c r="R72" s="16" t="s">
        <v>413</v>
      </c>
      <c r="S72" s="247" t="s">
        <v>413</v>
      </c>
      <c r="T72" s="243">
        <v>0.01669</v>
      </c>
      <c r="U72" s="247" t="s">
        <v>413</v>
      </c>
      <c r="V72" s="243">
        <v>0.00175</v>
      </c>
      <c r="W72" s="247" t="s">
        <v>413</v>
      </c>
      <c r="X72" s="243">
        <v>0.00299</v>
      </c>
    </row>
    <row r="73" spans="1:6" ht="12.75">
      <c r="A73" s="4" t="s">
        <v>1032</v>
      </c>
      <c r="B73" s="5" t="s">
        <v>418</v>
      </c>
      <c r="C73" s="2" t="s">
        <v>345</v>
      </c>
      <c r="D73" s="3"/>
      <c r="E73" s="25">
        <v>300</v>
      </c>
      <c r="F73" s="25">
        <v>311</v>
      </c>
    </row>
    <row r="74" spans="1:6" ht="25.5">
      <c r="A74" s="4" t="s">
        <v>1033</v>
      </c>
      <c r="B74" s="5" t="s">
        <v>418</v>
      </c>
      <c r="C74" s="2" t="s">
        <v>346</v>
      </c>
      <c r="D74" s="3"/>
      <c r="E74" s="25">
        <v>300</v>
      </c>
      <c r="F74" s="25">
        <v>311</v>
      </c>
    </row>
    <row r="75" spans="1:6" ht="12.75">
      <c r="A75" s="4" t="s">
        <v>1034</v>
      </c>
      <c r="B75" s="5" t="s">
        <v>418</v>
      </c>
      <c r="C75" s="2" t="s">
        <v>347</v>
      </c>
      <c r="D75" s="3"/>
      <c r="E75" s="25">
        <v>500</v>
      </c>
      <c r="F75" s="25">
        <v>518</v>
      </c>
    </row>
    <row r="76" spans="1:6" ht="12.75">
      <c r="A76" s="4" t="s">
        <v>1035</v>
      </c>
      <c r="B76" s="5" t="s">
        <v>418</v>
      </c>
      <c r="C76" s="2" t="s">
        <v>348</v>
      </c>
      <c r="D76" s="3"/>
      <c r="E76" s="25" t="s">
        <v>1689</v>
      </c>
      <c r="F76" s="25" t="s">
        <v>1689</v>
      </c>
    </row>
    <row r="77" spans="1:6" ht="12.75">
      <c r="A77" s="4" t="s">
        <v>1036</v>
      </c>
      <c r="B77" s="5" t="s">
        <v>418</v>
      </c>
      <c r="C77" s="2" t="s">
        <v>349</v>
      </c>
      <c r="D77" s="3"/>
      <c r="E77" s="25" t="s">
        <v>1689</v>
      </c>
      <c r="F77" s="25" t="s">
        <v>1689</v>
      </c>
    </row>
    <row r="78" spans="1:6" ht="12.75">
      <c r="A78" s="4" t="s">
        <v>1037</v>
      </c>
      <c r="B78" s="5" t="s">
        <v>418</v>
      </c>
      <c r="C78" s="2" t="s">
        <v>350</v>
      </c>
      <c r="D78" s="3"/>
      <c r="E78" s="25" t="s">
        <v>1689</v>
      </c>
      <c r="F78" s="25" t="s">
        <v>1689</v>
      </c>
    </row>
    <row r="79" spans="1:6" ht="38.25">
      <c r="A79" s="4" t="s">
        <v>1038</v>
      </c>
      <c r="B79" s="5" t="s">
        <v>418</v>
      </c>
      <c r="C79" s="2" t="s">
        <v>351</v>
      </c>
      <c r="D79" s="3" t="s">
        <v>1999</v>
      </c>
      <c r="E79" s="25" t="s">
        <v>1689</v>
      </c>
      <c r="F79" s="25" t="s">
        <v>1689</v>
      </c>
    </row>
    <row r="80" spans="1:6" ht="12.75">
      <c r="A80" s="4" t="s">
        <v>1039</v>
      </c>
      <c r="B80" s="5" t="s">
        <v>418</v>
      </c>
      <c r="C80" s="2" t="s">
        <v>352</v>
      </c>
      <c r="D80" s="3"/>
      <c r="E80" s="25" t="s">
        <v>1689</v>
      </c>
      <c r="F80" s="25" t="s">
        <v>1689</v>
      </c>
    </row>
    <row r="81" spans="1:6" ht="12.75">
      <c r="A81" s="4" t="s">
        <v>1040</v>
      </c>
      <c r="B81" s="5" t="s">
        <v>418</v>
      </c>
      <c r="C81" s="2" t="s">
        <v>353</v>
      </c>
      <c r="D81" s="3"/>
      <c r="E81" s="25" t="s">
        <v>1689</v>
      </c>
      <c r="F81" s="25" t="s">
        <v>1689</v>
      </c>
    </row>
    <row r="82" spans="1:6" ht="12.75">
      <c r="A82" s="4" t="s">
        <v>1041</v>
      </c>
      <c r="B82" s="5" t="s">
        <v>418</v>
      </c>
      <c r="C82" s="2" t="s">
        <v>354</v>
      </c>
      <c r="D82" s="3"/>
      <c r="E82" s="25">
        <v>0</v>
      </c>
      <c r="F82" s="25">
        <v>0</v>
      </c>
    </row>
    <row r="83" spans="1:6" ht="12.75">
      <c r="A83" s="4" t="s">
        <v>1042</v>
      </c>
      <c r="B83" s="5" t="s">
        <v>418</v>
      </c>
      <c r="C83" s="2" t="s">
        <v>355</v>
      </c>
      <c r="D83" s="3"/>
      <c r="E83" s="25">
        <v>0</v>
      </c>
      <c r="F83" s="25">
        <v>0</v>
      </c>
    </row>
    <row r="84" spans="1:24" s="13" customFormat="1" ht="38.25">
      <c r="A84" s="9" t="s">
        <v>1043</v>
      </c>
      <c r="B84" s="15" t="s">
        <v>1436</v>
      </c>
      <c r="C84" s="11" t="s">
        <v>356</v>
      </c>
      <c r="D84" s="10" t="s">
        <v>2000</v>
      </c>
      <c r="E84" s="26">
        <v>3790</v>
      </c>
      <c r="F84" s="26">
        <v>3927</v>
      </c>
      <c r="G84" s="16" t="s">
        <v>2595</v>
      </c>
      <c r="H84" s="235" t="s">
        <v>413</v>
      </c>
      <c r="I84" s="16" t="s">
        <v>413</v>
      </c>
      <c r="J84" s="45">
        <v>0.25</v>
      </c>
      <c r="K84" s="16" t="s">
        <v>413</v>
      </c>
      <c r="L84" s="16" t="s">
        <v>413</v>
      </c>
      <c r="M84" s="16" t="s">
        <v>413</v>
      </c>
      <c r="N84" s="16" t="s">
        <v>413</v>
      </c>
      <c r="O84" s="16" t="s">
        <v>413</v>
      </c>
      <c r="P84" s="16" t="s">
        <v>413</v>
      </c>
      <c r="Q84" s="16" t="s">
        <v>413</v>
      </c>
      <c r="R84" s="16" t="s">
        <v>413</v>
      </c>
      <c r="S84" s="247" t="s">
        <v>413</v>
      </c>
      <c r="T84" s="243">
        <v>0.0122</v>
      </c>
      <c r="U84" s="247" t="s">
        <v>413</v>
      </c>
      <c r="V84" s="243">
        <v>0.00149</v>
      </c>
      <c r="W84" s="247" t="s">
        <v>413</v>
      </c>
      <c r="X84" s="243">
        <v>0.00276</v>
      </c>
    </row>
    <row r="85" spans="1:6" ht="12.75">
      <c r="A85" s="4" t="s">
        <v>1044</v>
      </c>
      <c r="B85" s="5" t="s">
        <v>198</v>
      </c>
      <c r="C85" s="2" t="s">
        <v>357</v>
      </c>
      <c r="D85" s="3"/>
      <c r="E85" s="25">
        <v>1650</v>
      </c>
      <c r="F85" s="25">
        <v>1709</v>
      </c>
    </row>
    <row r="86" spans="1:6" ht="12.75">
      <c r="A86" s="4" t="s">
        <v>1045</v>
      </c>
      <c r="B86" s="5" t="s">
        <v>198</v>
      </c>
      <c r="C86" s="2" t="s">
        <v>358</v>
      </c>
      <c r="D86" s="3"/>
      <c r="E86" s="25">
        <v>1950</v>
      </c>
      <c r="F86" s="25">
        <v>2020</v>
      </c>
    </row>
    <row r="87" spans="1:6" ht="12.75">
      <c r="A87" s="4" t="s">
        <v>1046</v>
      </c>
      <c r="B87" s="5" t="s">
        <v>418</v>
      </c>
      <c r="C87" s="2" t="s">
        <v>1452</v>
      </c>
      <c r="D87" s="3"/>
      <c r="E87" s="25">
        <v>0</v>
      </c>
      <c r="F87" s="25">
        <v>0</v>
      </c>
    </row>
    <row r="88" spans="1:6" ht="12.75">
      <c r="A88" s="4" t="s">
        <v>1047</v>
      </c>
      <c r="B88" s="5" t="s">
        <v>418</v>
      </c>
      <c r="C88" s="2" t="s">
        <v>1453</v>
      </c>
      <c r="D88" s="3"/>
      <c r="E88" s="25">
        <v>190</v>
      </c>
      <c r="F88" s="25">
        <v>197</v>
      </c>
    </row>
    <row r="89" spans="1:6" ht="12.75">
      <c r="A89" s="4" t="s">
        <v>1048</v>
      </c>
      <c r="B89" s="5" t="s">
        <v>418</v>
      </c>
      <c r="C89" s="2" t="s">
        <v>1454</v>
      </c>
      <c r="D89" s="3"/>
      <c r="E89" s="25" t="s">
        <v>1689</v>
      </c>
      <c r="F89" s="25" t="s">
        <v>1689</v>
      </c>
    </row>
    <row r="90" spans="1:11" ht="12.75">
      <c r="A90" s="4" t="s">
        <v>1049</v>
      </c>
      <c r="B90" s="5" t="s">
        <v>418</v>
      </c>
      <c r="C90" s="2" t="s">
        <v>1455</v>
      </c>
      <c r="D90" s="3"/>
      <c r="E90" s="25">
        <v>100</v>
      </c>
      <c r="F90" s="25">
        <v>104</v>
      </c>
      <c r="K90" s="17"/>
    </row>
    <row r="91" spans="1:6" ht="12.75">
      <c r="A91" s="4" t="s">
        <v>1050</v>
      </c>
      <c r="B91" s="5" t="s">
        <v>418</v>
      </c>
      <c r="C91" s="2" t="s">
        <v>1456</v>
      </c>
      <c r="D91" s="3"/>
      <c r="E91" s="25">
        <v>100</v>
      </c>
      <c r="F91" s="25">
        <v>104</v>
      </c>
    </row>
    <row r="92" spans="1:24" s="13" customFormat="1" ht="12.75">
      <c r="A92" s="9" t="s">
        <v>1051</v>
      </c>
      <c r="B92" s="15" t="s">
        <v>418</v>
      </c>
      <c r="C92" s="11" t="s">
        <v>1457</v>
      </c>
      <c r="D92" s="10" t="s">
        <v>3012</v>
      </c>
      <c r="E92" s="26">
        <v>1470</v>
      </c>
      <c r="F92" s="26">
        <v>1523</v>
      </c>
      <c r="G92" s="16" t="s">
        <v>2595</v>
      </c>
      <c r="H92" s="235" t="s">
        <v>413</v>
      </c>
      <c r="I92" s="16" t="s">
        <v>413</v>
      </c>
      <c r="J92" s="45">
        <v>0.25</v>
      </c>
      <c r="K92" s="16" t="s">
        <v>413</v>
      </c>
      <c r="L92" s="16" t="s">
        <v>413</v>
      </c>
      <c r="M92" s="16" t="s">
        <v>413</v>
      </c>
      <c r="N92" s="16" t="s">
        <v>413</v>
      </c>
      <c r="O92" s="16" t="s">
        <v>413</v>
      </c>
      <c r="P92" s="16" t="s">
        <v>413</v>
      </c>
      <c r="Q92" s="16" t="s">
        <v>413</v>
      </c>
      <c r="R92" s="16" t="s">
        <v>413</v>
      </c>
      <c r="S92" s="247" t="s">
        <v>413</v>
      </c>
      <c r="T92" s="243">
        <v>0.0155</v>
      </c>
      <c r="U92" s="243"/>
      <c r="V92" s="243">
        <v>0.00163</v>
      </c>
      <c r="W92" s="243"/>
      <c r="X92" s="243">
        <v>0.00278</v>
      </c>
    </row>
    <row r="93" spans="1:24" s="33" customFormat="1" ht="25.5">
      <c r="A93" s="29" t="s">
        <v>1052</v>
      </c>
      <c r="B93" s="42" t="s">
        <v>418</v>
      </c>
      <c r="C93" s="31" t="s">
        <v>1458</v>
      </c>
      <c r="D93" s="30" t="s">
        <v>2001</v>
      </c>
      <c r="E93" s="32">
        <v>3040</v>
      </c>
      <c r="F93" s="32">
        <v>3491</v>
      </c>
      <c r="H93" s="233"/>
      <c r="J93" s="46"/>
      <c r="S93" s="241"/>
      <c r="T93" s="241"/>
      <c r="U93" s="241"/>
      <c r="V93" s="241"/>
      <c r="W93" s="241"/>
      <c r="X93" s="241"/>
    </row>
    <row r="94" spans="1:24" s="13" customFormat="1" ht="12.75">
      <c r="A94" s="9" t="s">
        <v>1053</v>
      </c>
      <c r="B94" s="15" t="s">
        <v>418</v>
      </c>
      <c r="C94" s="11" t="s">
        <v>1459</v>
      </c>
      <c r="D94" s="10" t="s">
        <v>2002</v>
      </c>
      <c r="E94" s="26">
        <v>890</v>
      </c>
      <c r="F94" s="26">
        <v>1022</v>
      </c>
      <c r="G94" s="16" t="s">
        <v>2438</v>
      </c>
      <c r="H94" s="235">
        <v>84.19227910690704</v>
      </c>
      <c r="I94" s="13">
        <v>93.2</v>
      </c>
      <c r="J94" s="45">
        <v>0.06</v>
      </c>
      <c r="K94" s="16" t="s">
        <v>2443</v>
      </c>
      <c r="L94" s="16" t="s">
        <v>2339</v>
      </c>
      <c r="M94" s="16" t="s">
        <v>2444</v>
      </c>
      <c r="N94" s="16" t="s">
        <v>1751</v>
      </c>
      <c r="O94" s="13" t="s">
        <v>413</v>
      </c>
      <c r="P94" s="13" t="s">
        <v>413</v>
      </c>
      <c r="R94" s="16" t="s">
        <v>2604</v>
      </c>
      <c r="S94" s="243">
        <f>0.7538/0.201</f>
        <v>3.7502487562189053</v>
      </c>
      <c r="T94" s="243">
        <v>0.00895</v>
      </c>
      <c r="U94" s="243">
        <f>-0.6741/0.201</f>
        <v>-3.3537313432835822</v>
      </c>
      <c r="V94" s="243">
        <v>-0.00801</v>
      </c>
      <c r="W94" s="243">
        <f>2997.6995/0.201</f>
        <v>14913.927860696518</v>
      </c>
      <c r="X94" s="243">
        <v>35.60636</v>
      </c>
    </row>
    <row r="95" spans="1:24" s="38" customFormat="1" ht="25.5">
      <c r="A95" s="34" t="s">
        <v>1054</v>
      </c>
      <c r="B95" s="43" t="s">
        <v>418</v>
      </c>
      <c r="C95" s="36" t="s">
        <v>1460</v>
      </c>
      <c r="D95" s="35" t="s">
        <v>2003</v>
      </c>
      <c r="E95" s="37">
        <v>1510</v>
      </c>
      <c r="F95" s="37">
        <v>1734</v>
      </c>
      <c r="H95" s="234"/>
      <c r="J95" s="47"/>
      <c r="S95" s="242"/>
      <c r="T95" s="242"/>
      <c r="U95" s="242"/>
      <c r="V95" s="242"/>
      <c r="W95" s="242"/>
      <c r="X95" s="242"/>
    </row>
    <row r="96" spans="1:24" s="13" customFormat="1" ht="12.75">
      <c r="A96" s="9" t="s">
        <v>1055</v>
      </c>
      <c r="B96" s="15" t="s">
        <v>418</v>
      </c>
      <c r="C96" s="11" t="s">
        <v>1461</v>
      </c>
      <c r="D96" s="10" t="s">
        <v>2004</v>
      </c>
      <c r="E96" s="26">
        <v>1180</v>
      </c>
      <c r="F96" s="26">
        <v>1355</v>
      </c>
      <c r="G96" s="16" t="s">
        <v>2421</v>
      </c>
      <c r="H96" s="235">
        <v>22.583765854857035</v>
      </c>
      <c r="I96" s="13">
        <v>25</v>
      </c>
      <c r="J96" s="45">
        <v>0.06</v>
      </c>
      <c r="K96" s="16" t="s">
        <v>2390</v>
      </c>
      <c r="L96" s="16" t="s">
        <v>2339</v>
      </c>
      <c r="M96" s="16" t="s">
        <v>2422</v>
      </c>
      <c r="N96" s="16" t="s">
        <v>1751</v>
      </c>
      <c r="O96" s="13" t="s">
        <v>413</v>
      </c>
      <c r="P96" s="13" t="s">
        <v>413</v>
      </c>
      <c r="R96" s="16" t="s">
        <v>2420</v>
      </c>
      <c r="S96" s="243">
        <f>0.35767/0.133</f>
        <v>2.6892481203007517</v>
      </c>
      <c r="T96" s="243">
        <v>0.01579</v>
      </c>
      <c r="U96" s="243">
        <f>-0.4761/0.133</f>
        <v>-3.579699248120301</v>
      </c>
      <c r="V96" s="243">
        <v>-0.02108</v>
      </c>
      <c r="W96" s="243">
        <f>2552.0583/0.133</f>
        <v>19188.408270676693</v>
      </c>
      <c r="X96" s="243">
        <v>112.97292</v>
      </c>
    </row>
    <row r="97" spans="1:24" s="13" customFormat="1" ht="25.5">
      <c r="A97" s="9" t="s">
        <v>1056</v>
      </c>
      <c r="B97" s="15" t="s">
        <v>418</v>
      </c>
      <c r="C97" s="11" t="s">
        <v>1462</v>
      </c>
      <c r="D97" s="10" t="s">
        <v>2005</v>
      </c>
      <c r="E97" s="26">
        <v>330</v>
      </c>
      <c r="F97" s="26">
        <v>379</v>
      </c>
      <c r="G97" s="16" t="s">
        <v>2340</v>
      </c>
      <c r="H97" s="235">
        <v>70.46134946715395</v>
      </c>
      <c r="I97" s="49">
        <v>78</v>
      </c>
      <c r="J97" s="45">
        <v>0.06</v>
      </c>
      <c r="K97" s="16" t="s">
        <v>2338</v>
      </c>
      <c r="L97" s="16" t="s">
        <v>2339</v>
      </c>
      <c r="M97" s="16" t="s">
        <v>2389</v>
      </c>
      <c r="N97" s="16" t="s">
        <v>1751</v>
      </c>
      <c r="R97" s="16" t="s">
        <v>2419</v>
      </c>
      <c r="S97" s="243">
        <f>0.8764/0.334</f>
        <v>2.623952095808383</v>
      </c>
      <c r="T97" s="243">
        <v>0.01244</v>
      </c>
      <c r="U97" s="243">
        <f>-1.1661/0.334</f>
        <v>-3.4913173652694605</v>
      </c>
      <c r="V97" s="243">
        <v>-0.01655</v>
      </c>
      <c r="W97" s="243">
        <f>3662.6109/0.334</f>
        <v>10965.900898203592</v>
      </c>
      <c r="X97" s="243">
        <v>51.98142</v>
      </c>
    </row>
    <row r="98" spans="1:24" s="38" customFormat="1" ht="12.75">
      <c r="A98" s="34" t="s">
        <v>1057</v>
      </c>
      <c r="B98" s="43" t="s">
        <v>418</v>
      </c>
      <c r="C98" s="36" t="s">
        <v>1463</v>
      </c>
      <c r="D98" s="35" t="s">
        <v>2006</v>
      </c>
      <c r="E98" s="37">
        <v>230</v>
      </c>
      <c r="F98" s="37">
        <v>264</v>
      </c>
      <c r="H98" s="234"/>
      <c r="J98" s="48"/>
      <c r="S98" s="242"/>
      <c r="T98" s="242"/>
      <c r="U98" s="242"/>
      <c r="V98" s="242"/>
      <c r="W98" s="242"/>
      <c r="X98" s="242"/>
    </row>
    <row r="99" spans="1:24" s="38" customFormat="1" ht="12.75">
      <c r="A99" s="34" t="s">
        <v>1058</v>
      </c>
      <c r="B99" s="43" t="s">
        <v>418</v>
      </c>
      <c r="C99" s="36" t="s">
        <v>1464</v>
      </c>
      <c r="D99" s="35" t="s">
        <v>2007</v>
      </c>
      <c r="E99" s="37">
        <v>410</v>
      </c>
      <c r="F99" s="37">
        <v>471</v>
      </c>
      <c r="H99" s="234"/>
      <c r="J99" s="47"/>
      <c r="S99" s="242"/>
      <c r="T99" s="242"/>
      <c r="U99" s="242"/>
      <c r="V99" s="242"/>
      <c r="W99" s="242"/>
      <c r="X99" s="242"/>
    </row>
    <row r="100" spans="1:24" s="33" customFormat="1" ht="12.75">
      <c r="A100" s="29" t="s">
        <v>1059</v>
      </c>
      <c r="B100" s="42" t="s">
        <v>1436</v>
      </c>
      <c r="C100" s="31" t="s">
        <v>1465</v>
      </c>
      <c r="D100" s="30" t="s">
        <v>2008</v>
      </c>
      <c r="E100" s="32">
        <v>15440</v>
      </c>
      <c r="F100" s="32">
        <v>15363</v>
      </c>
      <c r="H100" s="233"/>
      <c r="J100" s="46"/>
      <c r="S100" s="241"/>
      <c r="T100" s="241"/>
      <c r="U100" s="241"/>
      <c r="V100" s="241"/>
      <c r="W100" s="241"/>
      <c r="X100" s="241"/>
    </row>
    <row r="101" spans="1:11" ht="25.5">
      <c r="A101" s="4" t="s">
        <v>1640</v>
      </c>
      <c r="B101" s="5" t="s">
        <v>418</v>
      </c>
      <c r="C101" s="2" t="s">
        <v>1466</v>
      </c>
      <c r="D101" s="3"/>
      <c r="E101" s="25">
        <v>0</v>
      </c>
      <c r="F101" s="25">
        <v>0</v>
      </c>
      <c r="K101" s="17"/>
    </row>
    <row r="102" spans="1:24" s="13" customFormat="1" ht="25.5">
      <c r="A102" s="9" t="s">
        <v>1641</v>
      </c>
      <c r="B102" s="15" t="s">
        <v>198</v>
      </c>
      <c r="C102" s="11" t="s">
        <v>1467</v>
      </c>
      <c r="D102" s="10" t="s">
        <v>2009</v>
      </c>
      <c r="E102" s="26">
        <v>1340</v>
      </c>
      <c r="F102" s="26">
        <v>1333</v>
      </c>
      <c r="G102" s="16" t="s">
        <v>2615</v>
      </c>
      <c r="H102" s="235"/>
      <c r="J102" s="45"/>
      <c r="S102" s="247" t="s">
        <v>413</v>
      </c>
      <c r="T102" s="243">
        <v>0.0796307240506329</v>
      </c>
      <c r="U102" s="247" t="s">
        <v>413</v>
      </c>
      <c r="V102" s="243">
        <v>0.00018692610379746836</v>
      </c>
      <c r="W102" s="247" t="s">
        <v>413</v>
      </c>
      <c r="X102" s="243">
        <v>0.0001493868759493671</v>
      </c>
    </row>
    <row r="103" spans="1:24" s="13" customFormat="1" ht="12.75">
      <c r="A103" s="9" t="s">
        <v>1060</v>
      </c>
      <c r="B103" s="15" t="s">
        <v>198</v>
      </c>
      <c r="C103" s="11" t="s">
        <v>1468</v>
      </c>
      <c r="D103" s="10" t="s">
        <v>2010</v>
      </c>
      <c r="E103" s="26">
        <v>14090</v>
      </c>
      <c r="F103" s="26">
        <v>14019</v>
      </c>
      <c r="G103" s="16" t="s">
        <v>2615</v>
      </c>
      <c r="H103" s="235"/>
      <c r="J103" s="45"/>
      <c r="S103" s="247" t="s">
        <v>413</v>
      </c>
      <c r="T103" s="243">
        <v>0.2043</v>
      </c>
      <c r="U103" s="247" t="s">
        <v>413</v>
      </c>
      <c r="V103" s="243">
        <v>0.00676879856634548</v>
      </c>
      <c r="W103" s="247" t="s">
        <v>413</v>
      </c>
      <c r="X103" s="243">
        <v>0.04261786043684908</v>
      </c>
    </row>
    <row r="104" spans="1:6" ht="25.5">
      <c r="A104" s="4" t="s">
        <v>1642</v>
      </c>
      <c r="B104" s="5" t="s">
        <v>198</v>
      </c>
      <c r="C104" s="2" t="s">
        <v>1469</v>
      </c>
      <c r="D104" s="3"/>
      <c r="E104" s="25">
        <v>8250</v>
      </c>
      <c r="F104" s="25">
        <v>8209</v>
      </c>
    </row>
    <row r="105" spans="1:6" ht="25.5">
      <c r="A105" s="4" t="s">
        <v>1643</v>
      </c>
      <c r="B105" s="5" t="s">
        <v>198</v>
      </c>
      <c r="C105" s="2" t="s">
        <v>1470</v>
      </c>
      <c r="D105" s="3"/>
      <c r="E105" s="25">
        <v>5840</v>
      </c>
      <c r="F105" s="25">
        <v>5811</v>
      </c>
    </row>
    <row r="106" ht="12.75"/>
    <row r="107" spans="1:10" s="77" customFormat="1" ht="20.25">
      <c r="A107" s="76" t="s">
        <v>2616</v>
      </c>
      <c r="J107" s="78"/>
    </row>
    <row r="108" spans="1:24" s="77" customFormat="1" ht="12.75">
      <c r="A108" s="75" t="s">
        <v>2620</v>
      </c>
      <c r="G108" s="75" t="s">
        <v>2615</v>
      </c>
      <c r="J108" s="78"/>
      <c r="S108" s="75" t="s">
        <v>413</v>
      </c>
      <c r="T108" s="77">
        <v>0.03442511392405063</v>
      </c>
      <c r="U108" s="75" t="s">
        <v>413</v>
      </c>
      <c r="V108" s="77">
        <v>0.09301409292531646</v>
      </c>
      <c r="W108" s="75" t="s">
        <v>413</v>
      </c>
      <c r="X108" s="77">
        <v>0.00021228744759493672</v>
      </c>
    </row>
    <row r="109" spans="1:24" s="77" customFormat="1" ht="12.75">
      <c r="A109" s="75" t="s">
        <v>2621</v>
      </c>
      <c r="G109" s="75" t="s">
        <v>2615</v>
      </c>
      <c r="J109" s="78"/>
      <c r="S109" s="75" t="s">
        <v>413</v>
      </c>
      <c r="T109" s="77">
        <v>0.014931428151630914</v>
      </c>
      <c r="U109" s="75" t="s">
        <v>413</v>
      </c>
      <c r="V109" s="77">
        <v>0.01428</v>
      </c>
      <c r="W109" s="75" t="s">
        <v>413</v>
      </c>
      <c r="X109" s="77">
        <v>0.00496</v>
      </c>
    </row>
    <row r="110" spans="1:24" s="187" customFormat="1" ht="14.25">
      <c r="A110" s="187" t="s">
        <v>2622</v>
      </c>
      <c r="G110" s="187" t="s">
        <v>2615</v>
      </c>
      <c r="J110" s="630"/>
      <c r="S110" s="187" t="s">
        <v>413</v>
      </c>
      <c r="T110" s="187">
        <v>0.1176551568328442</v>
      </c>
      <c r="U110" s="187" t="s">
        <v>413</v>
      </c>
      <c r="V110" s="187">
        <v>0.15798082521154194</v>
      </c>
      <c r="W110" s="187" t="s">
        <v>413</v>
      </c>
      <c r="X110" s="187">
        <v>0.042684549393216115</v>
      </c>
    </row>
    <row r="111" spans="1:24" s="77" customFormat="1" ht="12.75">
      <c r="A111" s="75" t="s">
        <v>2623</v>
      </c>
      <c r="G111" s="75" t="s">
        <v>2615</v>
      </c>
      <c r="J111" s="78"/>
      <c r="S111" s="75" t="s">
        <v>413</v>
      </c>
      <c r="T111" s="77">
        <v>0.021380571105656315</v>
      </c>
      <c r="U111" s="75" t="s">
        <v>413</v>
      </c>
      <c r="V111" s="77">
        <v>0.006002860826107687</v>
      </c>
      <c r="W111" s="75" t="s">
        <v>413</v>
      </c>
      <c r="X111" s="77">
        <v>0.03851835696752433</v>
      </c>
    </row>
    <row r="112" spans="1:24" s="77" customFormat="1" ht="12.75">
      <c r="A112" s="75" t="s">
        <v>2624</v>
      </c>
      <c r="G112" s="75" t="s">
        <v>2615</v>
      </c>
      <c r="J112" s="78"/>
      <c r="S112" s="75" t="s">
        <v>413</v>
      </c>
      <c r="T112" s="77">
        <v>0.01497</v>
      </c>
      <c r="U112" s="75" t="s">
        <v>413</v>
      </c>
      <c r="V112" s="75">
        <v>0.001915</v>
      </c>
      <c r="W112" s="75" t="s">
        <v>413</v>
      </c>
      <c r="X112" s="77">
        <v>0.0039049999999999996</v>
      </c>
    </row>
    <row r="113" spans="8:24" s="14" customFormat="1" ht="12.75">
      <c r="H113" s="236"/>
      <c r="J113" s="40"/>
      <c r="S113" s="248"/>
      <c r="T113" s="244"/>
      <c r="U113" s="244"/>
      <c r="V113" s="244"/>
      <c r="W113" s="248"/>
      <c r="X113" s="244"/>
    </row>
    <row r="114" spans="8:24" s="14" customFormat="1" ht="12.75">
      <c r="H114" s="236"/>
      <c r="J114" s="40"/>
      <c r="S114" s="248"/>
      <c r="T114" s="244"/>
      <c r="U114" s="248"/>
      <c r="V114" s="244"/>
      <c r="W114" s="248"/>
      <c r="X114" s="244"/>
    </row>
    <row r="115" spans="8:24" s="14" customFormat="1" ht="12.75">
      <c r="H115" s="236"/>
      <c r="J115" s="40"/>
      <c r="S115" s="244"/>
      <c r="U115" s="244"/>
      <c r="V115" s="244"/>
      <c r="W115" s="244"/>
      <c r="X115" s="244"/>
    </row>
    <row r="116" ht="12.75">
      <c r="T116" s="14"/>
    </row>
    <row r="117" ht="12.75">
      <c r="T117"/>
    </row>
  </sheetData>
  <sheetProtection/>
  <mergeCells count="3">
    <mergeCell ref="K1:M1"/>
    <mergeCell ref="O1:Q1"/>
    <mergeCell ref="A1:D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scbasan</dc:creator>
  <cp:keywords/>
  <dc:description/>
  <cp:lastModifiedBy>Annika Carlsson-Kanyama</cp:lastModifiedBy>
  <cp:lastPrinted>2007-05-09T07:05:48Z</cp:lastPrinted>
  <dcterms:created xsi:type="dcterms:W3CDTF">2004-02-23T15:01:32Z</dcterms:created>
  <dcterms:modified xsi:type="dcterms:W3CDTF">2019-12-09T12:46:05Z</dcterms:modified>
  <cp:category/>
  <cp:version/>
  <cp:contentType/>
  <cp:contentStatus/>
</cp:coreProperties>
</file>